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SUMMARY" sheetId="19" r:id="rId1"/>
    <sheet name="SITE ESTIMATE" sheetId="16" r:id="rId2"/>
  </sheets>
  <definedNames>
    <definedName name="_xlnm._FilterDatabase" localSheetId="1" hidden="1">'SITE ESTIMATE'!$E$1:$E$233</definedName>
    <definedName name="_xlnm.Print_Area" localSheetId="1">'SITE ESTIMATE'!$A$1:$J$212</definedName>
    <definedName name="_xlnm.Print_Area" localSheetId="0">SUMMARY!$A$1:$E$32</definedName>
    <definedName name="_xlnm.Print_Titles" localSheetId="1">'SITE ESTIMATE'!$1:$6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16" l="1"/>
  <c r="A12" i="16" s="1"/>
  <c r="A14" i="16"/>
  <c r="A15" i="16"/>
  <c r="A16" i="16"/>
  <c r="A17" i="16"/>
  <c r="A18" i="16"/>
  <c r="A20" i="16"/>
  <c r="A22" i="16"/>
  <c r="A25" i="16"/>
  <c r="A26" i="16"/>
  <c r="A27" i="16"/>
  <c r="A28" i="16"/>
  <c r="A29" i="16"/>
  <c r="A32" i="16"/>
  <c r="A35" i="16"/>
  <c r="A38" i="16"/>
  <c r="A41" i="16"/>
  <c r="A44" i="16"/>
  <c r="A45" i="16"/>
  <c r="A46" i="16"/>
  <c r="A47" i="16"/>
  <c r="A48" i="16"/>
  <c r="A52" i="16"/>
  <c r="A53" i="16"/>
  <c r="A54" i="16"/>
  <c r="A55" i="16"/>
  <c r="A57" i="16"/>
  <c r="A58" i="16"/>
  <c r="A59" i="16"/>
  <c r="A60" i="16"/>
  <c r="A61" i="16"/>
  <c r="A63" i="16"/>
  <c r="A64" i="16"/>
  <c r="A65" i="16"/>
  <c r="A66" i="16"/>
  <c r="A67" i="16"/>
  <c r="A72" i="16"/>
  <c r="A73" i="16"/>
  <c r="A74" i="16"/>
  <c r="A75" i="16"/>
  <c r="A76" i="16"/>
  <c r="A82" i="16"/>
  <c r="A86" i="16"/>
  <c r="A87" i="16"/>
  <c r="A88" i="16"/>
  <c r="A89" i="16"/>
  <c r="A90" i="16"/>
  <c r="A92" i="16"/>
  <c r="A93" i="16"/>
  <c r="A95" i="16"/>
  <c r="A96" i="16"/>
  <c r="A99" i="16"/>
  <c r="A103" i="16"/>
  <c r="A104" i="16"/>
  <c r="A105" i="16"/>
  <c r="A106" i="16"/>
  <c r="A107" i="16"/>
  <c r="A108" i="16"/>
  <c r="A116" i="16"/>
  <c r="A122" i="16"/>
  <c r="A130" i="16"/>
  <c r="A135" i="16"/>
  <c r="A138" i="16"/>
  <c r="A139" i="16"/>
  <c r="A140" i="16"/>
  <c r="A147" i="16"/>
  <c r="A149" i="16"/>
  <c r="A150" i="16"/>
  <c r="A151" i="16"/>
  <c r="A158" i="16"/>
  <c r="A159" i="16"/>
  <c r="A165" i="16"/>
  <c r="A166" i="16"/>
  <c r="A167" i="16"/>
  <c r="A173" i="16"/>
  <c r="A176" i="16"/>
  <c r="A177" i="16"/>
  <c r="A178" i="16"/>
  <c r="A179" i="16"/>
  <c r="A180" i="16"/>
  <c r="A183" i="16"/>
  <c r="A184" i="16"/>
  <c r="A187" i="16"/>
  <c r="A188" i="16"/>
  <c r="A190" i="16"/>
  <c r="A191" i="16"/>
  <c r="A193" i="16"/>
  <c r="A194" i="16"/>
  <c r="A196" i="16"/>
  <c r="A197" i="16"/>
  <c r="A199" i="16"/>
  <c r="A200" i="16"/>
  <c r="A204" i="16"/>
  <c r="A205" i="16"/>
  <c r="F101" i="16"/>
  <c r="F102" i="16"/>
  <c r="A13" i="16" l="1"/>
  <c r="A19" i="16" s="1"/>
  <c r="H39" i="16"/>
  <c r="F40" i="16"/>
  <c r="H37" i="16"/>
  <c r="I37" i="16" s="1"/>
  <c r="F37" i="16"/>
  <c r="I36" i="16"/>
  <c r="H50" i="16"/>
  <c r="I50" i="16" s="1"/>
  <c r="A21" i="16" l="1"/>
  <c r="A23" i="16" l="1"/>
  <c r="A24" i="16" l="1"/>
  <c r="A30" i="16" l="1"/>
  <c r="A31" i="16"/>
  <c r="A33" i="16" l="1"/>
  <c r="F134" i="16"/>
  <c r="H134" i="16"/>
  <c r="I134" i="16" s="1"/>
  <c r="F133" i="16"/>
  <c r="F132" i="16"/>
  <c r="H133" i="16"/>
  <c r="H132" i="16"/>
  <c r="I131" i="16"/>
  <c r="H170" i="16"/>
  <c r="H125" i="16"/>
  <c r="H120" i="16"/>
  <c r="H129" i="16"/>
  <c r="H156" i="16"/>
  <c r="H172" i="16"/>
  <c r="H141" i="16"/>
  <c r="H111" i="16"/>
  <c r="H118" i="16"/>
  <c r="H126" i="16"/>
  <c r="H142" i="16"/>
  <c r="H153" i="16"/>
  <c r="H169" i="16"/>
  <c r="F85" i="16"/>
  <c r="H85" i="16"/>
  <c r="H84" i="16"/>
  <c r="H83" i="16"/>
  <c r="F84" i="16"/>
  <c r="F83" i="16"/>
  <c r="F80" i="16"/>
  <c r="F81" i="16" s="1"/>
  <c r="F79" i="16"/>
  <c r="F78" i="16"/>
  <c r="F77" i="16"/>
  <c r="H77" i="16"/>
  <c r="A34" i="16" l="1"/>
  <c r="I133" i="16"/>
  <c r="I132" i="16"/>
  <c r="A36" i="16" l="1"/>
  <c r="A37" i="16" s="1"/>
  <c r="A39" i="16" s="1"/>
  <c r="A40" i="16" s="1"/>
  <c r="A42" i="16" s="1"/>
  <c r="A43" i="16" s="1"/>
  <c r="A49" i="16" s="1"/>
  <c r="A50" i="16" s="1"/>
  <c r="A51" i="16" s="1"/>
  <c r="A56" i="16" s="1"/>
  <c r="A62" i="16" s="1"/>
  <c r="A68" i="16" s="1"/>
  <c r="A69" i="16" s="1"/>
  <c r="A70" i="16" s="1"/>
  <c r="A71" i="16" s="1"/>
  <c r="A77" i="16" s="1"/>
  <c r="A78" i="16" s="1"/>
  <c r="A79" i="16" s="1"/>
  <c r="A80" i="16" s="1"/>
  <c r="A81" i="16" s="1"/>
  <c r="A83" i="16" s="1"/>
  <c r="A84" i="16" s="1"/>
  <c r="A85" i="16" s="1"/>
  <c r="A91" i="16" s="1"/>
  <c r="A94" i="16" s="1"/>
  <c r="A97" i="16" s="1"/>
  <c r="A98" i="16" s="1"/>
  <c r="A100" i="16" s="1"/>
  <c r="A101" i="16" s="1"/>
  <c r="A102" i="16" s="1"/>
  <c r="A109" i="16" s="1"/>
  <c r="A110" i="16" s="1"/>
  <c r="A111" i="16" s="1"/>
  <c r="A112" i="16" s="1"/>
  <c r="A113" i="16" s="1"/>
  <c r="A114" i="16" s="1"/>
  <c r="A115" i="16" s="1"/>
  <c r="A117" i="16" s="1"/>
  <c r="A118" i="16" s="1"/>
  <c r="A119" i="16" s="1"/>
  <c r="A120" i="16" s="1"/>
  <c r="A121" i="16" s="1"/>
  <c r="A123" i="16" s="1"/>
  <c r="A124" i="16" s="1"/>
  <c r="A125" i="16" s="1"/>
  <c r="A126" i="16" s="1"/>
  <c r="A127" i="16" s="1"/>
  <c r="A128" i="16" s="1"/>
  <c r="A129" i="16" s="1"/>
  <c r="A131" i="16" s="1"/>
  <c r="A132" i="16" s="1"/>
  <c r="A133" i="16" s="1"/>
  <c r="A134" i="16" s="1"/>
  <c r="A136" i="16" s="1"/>
  <c r="A137" i="16" s="1"/>
  <c r="A141" i="16" s="1"/>
  <c r="A142" i="16" s="1"/>
  <c r="A143" i="16" s="1"/>
  <c r="A144" i="16" s="1"/>
  <c r="A145" i="16" s="1"/>
  <c r="A146" i="16" s="1"/>
  <c r="A148" i="16" s="1"/>
  <c r="A152" i="16" s="1"/>
  <c r="A153" i="16" s="1"/>
  <c r="A154" i="16" s="1"/>
  <c r="A155" i="16" s="1"/>
  <c r="A156" i="16" s="1"/>
  <c r="A157" i="16" s="1"/>
  <c r="A160" i="16" s="1"/>
  <c r="A161" i="16" s="1"/>
  <c r="A162" i="16" s="1"/>
  <c r="A163" i="16" s="1"/>
  <c r="A164" i="16" s="1"/>
  <c r="A168" i="16" s="1"/>
  <c r="A169" i="16" s="1"/>
  <c r="A170" i="16" s="1"/>
  <c r="A171" i="16" s="1"/>
  <c r="A172" i="16" s="1"/>
  <c r="A174" i="16" s="1"/>
  <c r="A175" i="16" s="1"/>
  <c r="A181" i="16" s="1"/>
  <c r="A182" i="16" s="1"/>
  <c r="A185" i="16" s="1"/>
  <c r="A186" i="16" s="1"/>
  <c r="A189" i="16" s="1"/>
  <c r="A192" i="16" s="1"/>
  <c r="A195" i="16" s="1"/>
  <c r="A198" i="16" s="1"/>
  <c r="A201" i="16" s="1"/>
  <c r="A202" i="16" s="1"/>
  <c r="A203" i="16" s="1"/>
  <c r="I85" i="16"/>
  <c r="I80" i="16"/>
  <c r="I79" i="16"/>
  <c r="I81" i="16" l="1"/>
  <c r="I51" i="16" l="1"/>
  <c r="I137" i="16"/>
  <c r="I136" i="16"/>
  <c r="F121" i="16"/>
  <c r="F119" i="16"/>
  <c r="F118" i="16"/>
  <c r="F112" i="16"/>
  <c r="F115" i="16"/>
  <c r="F111" i="16"/>
  <c r="I110" i="16"/>
  <c r="I125" i="16"/>
  <c r="F109" i="16"/>
  <c r="F171" i="16"/>
  <c r="F169" i="16"/>
  <c r="I175" i="16"/>
  <c r="I174" i="16"/>
  <c r="I170" i="16"/>
  <c r="I168" i="16"/>
  <c r="F113" i="16" l="1"/>
  <c r="F120" i="16"/>
  <c r="F172" i="16"/>
  <c r="I172" i="16" s="1"/>
  <c r="I169" i="16"/>
  <c r="F129" i="16" l="1"/>
  <c r="F128" i="16"/>
  <c r="F127" i="16"/>
  <c r="F126" i="16"/>
  <c r="F146" i="16"/>
  <c r="F143" i="16"/>
  <c r="F142" i="16"/>
  <c r="F157" i="16"/>
  <c r="F155" i="16"/>
  <c r="F153" i="16"/>
  <c r="I161" i="16"/>
  <c r="H157" i="16"/>
  <c r="I162" i="16"/>
  <c r="F198" i="16"/>
  <c r="I198" i="16" s="1"/>
  <c r="F98" i="16"/>
  <c r="F97" i="16"/>
  <c r="F100" i="16" s="1"/>
  <c r="F203" i="16"/>
  <c r="F202" i="16"/>
  <c r="I202" i="16" s="1"/>
  <c r="F201" i="16"/>
  <c r="I201" i="16" s="1"/>
  <c r="F195" i="16"/>
  <c r="I23" i="16"/>
  <c r="I24" i="16"/>
  <c r="I91" i="16"/>
  <c r="F70" i="16"/>
  <c r="F34" i="16"/>
  <c r="H34" i="16"/>
  <c r="I33" i="16"/>
  <c r="F43" i="16"/>
  <c r="F31" i="16"/>
  <c r="F21" i="16"/>
  <c r="F144" i="16" l="1"/>
  <c r="F156" i="16"/>
  <c r="I156" i="16" s="1"/>
  <c r="I157" i="16"/>
  <c r="I195" i="16"/>
  <c r="I34" i="16"/>
  <c r="F10" i="16"/>
  <c r="I94" i="16"/>
  <c r="F192" i="16"/>
  <c r="I186" i="16"/>
  <c r="I182" i="16"/>
  <c r="A206" i="16" l="1"/>
  <c r="H112" i="16" l="1"/>
  <c r="H43" i="16"/>
  <c r="H40" i="16"/>
  <c r="H113" i="16" l="1"/>
  <c r="I113" i="16" s="1"/>
  <c r="H171" i="16"/>
  <c r="I171" i="16" s="1"/>
  <c r="H144" i="16"/>
  <c r="I144" i="16" s="1"/>
  <c r="H154" i="16"/>
  <c r="H145" i="16"/>
  <c r="H121" i="16" l="1"/>
  <c r="H119" i="16"/>
  <c r="I117" i="16"/>
  <c r="I120" i="16" l="1"/>
  <c r="I121" i="16"/>
  <c r="I119" i="16"/>
  <c r="I118" i="16"/>
  <c r="I69" i="16"/>
  <c r="I109" i="16" l="1"/>
  <c r="I192" i="16"/>
  <c r="I145" i="16" l="1"/>
  <c r="I70" i="16" l="1"/>
  <c r="I43" i="16"/>
  <c r="I42" i="16"/>
  <c r="I71" i="16" l="1"/>
  <c r="I68" i="16" l="1"/>
  <c r="J73" i="16" s="1"/>
  <c r="D22" i="19" s="1"/>
  <c r="I40" i="16"/>
  <c r="I56" i="16"/>
  <c r="J58" i="16" s="1"/>
  <c r="D20" i="19" s="1"/>
  <c r="I49" i="16"/>
  <c r="I39" i="16"/>
  <c r="I10" i="16"/>
  <c r="I12" i="16"/>
  <c r="J53" i="16" l="1"/>
  <c r="D19" i="19" s="1"/>
  <c r="I164" i="16"/>
  <c r="I154" i="16"/>
  <c r="H155" i="16"/>
  <c r="I155" i="16" l="1"/>
  <c r="I203" i="16" l="1"/>
  <c r="I189" i="16"/>
  <c r="I185" i="16"/>
  <c r="I181" i="16"/>
  <c r="J205" i="16" l="1"/>
  <c r="D26" i="19" s="1"/>
  <c r="H146" i="16"/>
  <c r="H101" i="16" l="1"/>
  <c r="H102" i="16"/>
  <c r="I19" i="16"/>
  <c r="I98" i="16"/>
  <c r="H127" i="16"/>
  <c r="H143" i="16"/>
  <c r="I128" i="16"/>
  <c r="I124" i="16"/>
  <c r="I123" i="16"/>
  <c r="I153" i="16"/>
  <c r="I112" i="16"/>
  <c r="I152" i="16"/>
  <c r="I141" i="16"/>
  <c r="I115" i="16"/>
  <c r="I146" i="16"/>
  <c r="I160" i="16"/>
  <c r="I148" i="16"/>
  <c r="I163" i="16"/>
  <c r="I84" i="16" l="1"/>
  <c r="I78" i="16"/>
  <c r="I101" i="16"/>
  <c r="I77" i="16"/>
  <c r="I83" i="16"/>
  <c r="I31" i="16"/>
  <c r="I100" i="16"/>
  <c r="I97" i="16"/>
  <c r="I143" i="16"/>
  <c r="I129" i="16"/>
  <c r="I111" i="16"/>
  <c r="I114" i="16"/>
  <c r="I127" i="16"/>
  <c r="I126" i="16"/>
  <c r="I142" i="16"/>
  <c r="J87" i="16" l="1"/>
  <c r="D23" i="19" s="1"/>
  <c r="J177" i="16"/>
  <c r="D25" i="19" s="1"/>
  <c r="I30" i="16"/>
  <c r="J45" i="16" s="1"/>
  <c r="D18" i="19" s="1"/>
  <c r="I62" i="16"/>
  <c r="I21" i="16"/>
  <c r="J26" i="16" s="1"/>
  <c r="D17" i="19" s="1"/>
  <c r="I102" i="16"/>
  <c r="J104" i="16" s="1"/>
  <c r="D24" i="19" s="1"/>
  <c r="I13" i="16"/>
  <c r="I11" i="16"/>
  <c r="J64" i="16" l="1"/>
  <c r="D21" i="19" s="1"/>
  <c r="J15" i="16"/>
  <c r="D16" i="19" s="1"/>
  <c r="I208" i="16" l="1"/>
  <c r="D28" i="19" l="1"/>
  <c r="D29" i="19" s="1"/>
  <c r="D30" i="19" s="1"/>
  <c r="J208" i="16"/>
  <c r="A7" i="16"/>
  <c r="D13" i="19" l="1"/>
  <c r="A207" i="16" l="1"/>
  <c r="A10" i="16" l="1"/>
  <c r="I209" i="16"/>
  <c r="I210" i="16" l="1"/>
  <c r="C5" i="16" s="1"/>
</calcChain>
</file>

<file path=xl/sharedStrings.xml><?xml version="1.0" encoding="utf-8"?>
<sst xmlns="http://schemas.openxmlformats.org/spreadsheetml/2006/main" count="496" uniqueCount="207">
  <si>
    <t>UNIT</t>
  </si>
  <si>
    <t>DESCRIPTION</t>
  </si>
  <si>
    <t>UNIT COST</t>
  </si>
  <si>
    <t>TOTAL BASE BID</t>
  </si>
  <si>
    <t>TOTAL COST</t>
  </si>
  <si>
    <t>PROJECT</t>
  </si>
  <si>
    <t>ADDRESS</t>
  </si>
  <si>
    <t>Date of submission</t>
  </si>
  <si>
    <t>Date of plans</t>
  </si>
  <si>
    <t>SR #</t>
  </si>
  <si>
    <t>SUB TOTALS</t>
  </si>
  <si>
    <t>SUB - TOTAL</t>
  </si>
  <si>
    <t>Sheet
No.</t>
  </si>
  <si>
    <t>Detail
No.</t>
  </si>
  <si>
    <t>CSI
No.</t>
  </si>
  <si>
    <t>CY</t>
  </si>
  <si>
    <t>LB</t>
  </si>
  <si>
    <t>QTY.</t>
  </si>
  <si>
    <t>Exclusions</t>
  </si>
  <si>
    <t xml:space="preserve"> </t>
  </si>
  <si>
    <t>GENRAL REQUIREMENTS</t>
  </si>
  <si>
    <t>Mobilization &amp; General Conditions</t>
  </si>
  <si>
    <t>Supervision &amp; Inspection</t>
  </si>
  <si>
    <t>Permits &amp; Bonds</t>
  </si>
  <si>
    <t>Coordinated Installations</t>
  </si>
  <si>
    <t>TOTAL GENERAL CONDITIONS AND REQUIREMENTS</t>
  </si>
  <si>
    <t>Next Tab For Detailed Estimate</t>
  </si>
  <si>
    <t>EA</t>
  </si>
  <si>
    <t>Excavation</t>
  </si>
  <si>
    <t>Backfill</t>
  </si>
  <si>
    <t>SFCA</t>
  </si>
  <si>
    <t>SF</t>
  </si>
  <si>
    <t>LF</t>
  </si>
  <si>
    <t>SITE ESTIMATE</t>
  </si>
  <si>
    <t xml:space="preserve">32 00 00 </t>
  </si>
  <si>
    <t>EXTERIOR IMPROVEMENTS</t>
  </si>
  <si>
    <t>TOTAL SITE ESTIMATE</t>
  </si>
  <si>
    <t>.</t>
  </si>
  <si>
    <t>Formwork</t>
  </si>
  <si>
    <t xml:space="preserve">Sheeting/Shoring </t>
  </si>
  <si>
    <t xml:space="preserve">Sheeting/shoring </t>
  </si>
  <si>
    <t>Inspection ports w/ frame and grates</t>
  </si>
  <si>
    <t>LOADS</t>
  </si>
  <si>
    <t>ADS geosynthetic 601T non-woven geotextile fabric</t>
  </si>
  <si>
    <t>Cut to achieve required grade @ 20% fluff factor</t>
  </si>
  <si>
    <t>Fill to achieve required grade @ 20% fluff factor</t>
  </si>
  <si>
    <t>12" Crushed stone base</t>
  </si>
  <si>
    <t>OVERHAED AND PROFIT</t>
  </si>
  <si>
    <t>SUBTOTAL</t>
  </si>
  <si>
    <t>OVERHEAD &amp; PROFIT</t>
  </si>
  <si>
    <r>
      <t xml:space="preserve">Haul away of extra soil from grading
</t>
    </r>
    <r>
      <rPr>
        <b/>
        <sz val="12"/>
        <rFont val="Calibri"/>
        <family val="2"/>
        <scheme val="minor"/>
      </rPr>
      <t>Truck capacity: 18 Cys Assumed
Cycle: 10 Miles Assumed</t>
    </r>
  </si>
  <si>
    <r>
      <t>Haul away of extra soil from utilities</t>
    </r>
    <r>
      <rPr>
        <b/>
        <sz val="12"/>
        <rFont val="Calibri"/>
        <family val="2"/>
        <scheme val="minor"/>
      </rPr>
      <t xml:space="preserve">
Truck capacity: 18 Cys Assumed
Cycle: 10 Miles Assumed</t>
    </r>
  </si>
  <si>
    <r>
      <t xml:space="preserve">Haul away of extra soil from foundation excavations
</t>
    </r>
    <r>
      <rPr>
        <b/>
        <sz val="12"/>
        <rFont val="Calibri"/>
        <family val="2"/>
        <scheme val="minor"/>
      </rPr>
      <t>Truck capacity: 18 Cys Assumed
Cycle: 10 Miles Assumed</t>
    </r>
  </si>
  <si>
    <t>LOC</t>
  </si>
  <si>
    <r>
      <t xml:space="preserve">Gas pipe
</t>
    </r>
    <r>
      <rPr>
        <b/>
        <sz val="12"/>
        <rFont val="Calibri"/>
        <family val="2"/>
        <scheme val="minor"/>
      </rPr>
      <t>Assumed pipe: 3" Dia MDPE pipe SDR11.5</t>
    </r>
  </si>
  <si>
    <t>LS</t>
  </si>
  <si>
    <t>Warning tape</t>
  </si>
  <si>
    <t>Compacted granular fill</t>
  </si>
  <si>
    <t>Connection to existing main w/ tap &amp; sleeve valve</t>
  </si>
  <si>
    <t>Clean, crushed &amp; angular stone fill</t>
  </si>
  <si>
    <t>Stormtech SC-740 infiltration units</t>
  </si>
  <si>
    <t>Connection to existing water mains</t>
  </si>
  <si>
    <t>Allowance for thrust blocks</t>
  </si>
  <si>
    <t>Demolish curbs</t>
  </si>
  <si>
    <t>Assumed</t>
  </si>
  <si>
    <t>4" Compacted gravel</t>
  </si>
  <si>
    <t>Hand dig pits</t>
  </si>
  <si>
    <t>6" Compacted gravel</t>
  </si>
  <si>
    <t>Site demolitions and site preparations</t>
  </si>
  <si>
    <t>Erosion &amp; sediment control</t>
  </si>
  <si>
    <t>Pavements</t>
  </si>
  <si>
    <t>Curbs</t>
  </si>
  <si>
    <t>Site demolition subtotal</t>
  </si>
  <si>
    <t>Erosion &amp; sediment control subtotal</t>
  </si>
  <si>
    <t>Pavements subtotal</t>
  </si>
  <si>
    <t>Curbs subtotal</t>
  </si>
  <si>
    <t>Pavement stripping</t>
  </si>
  <si>
    <t>General demolitions</t>
  </si>
  <si>
    <t>Allowances</t>
  </si>
  <si>
    <t>Black vinyl chain link fence</t>
  </si>
  <si>
    <t>Earthwork</t>
  </si>
  <si>
    <t>Cut &amp; fill</t>
  </si>
  <si>
    <t>Spoil haulage</t>
  </si>
  <si>
    <t>Earthwork subtotal</t>
  </si>
  <si>
    <t>Utilities</t>
  </si>
  <si>
    <t>Storm drainage system</t>
  </si>
  <si>
    <t>Piping</t>
  </si>
  <si>
    <t>Catch basin</t>
  </si>
  <si>
    <t>Sanitary sewer system</t>
  </si>
  <si>
    <t>Accessories</t>
  </si>
  <si>
    <t>Water system</t>
  </si>
  <si>
    <t>Gas system</t>
  </si>
  <si>
    <t>Utilities subtotal</t>
  </si>
  <si>
    <t>Landscape</t>
  </si>
  <si>
    <t>Mulch</t>
  </si>
  <si>
    <t>Landscape subtotal</t>
  </si>
  <si>
    <t>Shrubs</t>
  </si>
  <si>
    <r>
      <rPr>
        <b/>
        <sz val="12"/>
        <rFont val="Calibri"/>
        <family val="2"/>
        <scheme val="minor"/>
      </rPr>
      <t xml:space="preserve">Botanical name: </t>
    </r>
    <r>
      <rPr>
        <sz val="12"/>
        <rFont val="Calibri"/>
        <family val="2"/>
        <scheme val="minor"/>
      </rPr>
      <t xml:space="preserve">Aclepias
</t>
    </r>
    <r>
      <rPr>
        <b/>
        <sz val="12"/>
        <rFont val="Calibri"/>
        <family val="2"/>
        <scheme val="minor"/>
      </rPr>
      <t xml:space="preserve">Common name: </t>
    </r>
    <r>
      <rPr>
        <sz val="12"/>
        <rFont val="Calibri"/>
        <family val="2"/>
        <scheme val="minor"/>
      </rPr>
      <t xml:space="preserve">Milk weed
</t>
    </r>
    <r>
      <rPr>
        <b/>
        <sz val="12"/>
        <rFont val="Calibri"/>
        <family val="2"/>
        <scheme val="minor"/>
      </rPr>
      <t xml:space="preserve">Size: </t>
    </r>
    <r>
      <rPr>
        <sz val="12"/>
        <rFont val="Calibri"/>
        <family val="2"/>
        <scheme val="minor"/>
      </rPr>
      <t>-</t>
    </r>
  </si>
  <si>
    <t>Trees</t>
  </si>
  <si>
    <r>
      <rPr>
        <b/>
        <sz val="12"/>
        <rFont val="Calibri"/>
        <family val="2"/>
        <scheme val="minor"/>
      </rPr>
      <t xml:space="preserve">Botanical name: </t>
    </r>
    <r>
      <rPr>
        <sz val="12"/>
        <rFont val="Calibri"/>
        <family val="2"/>
        <scheme val="minor"/>
      </rPr>
      <t xml:space="preserve">Schizachyrium scoparium
</t>
    </r>
    <r>
      <rPr>
        <b/>
        <sz val="12"/>
        <rFont val="Calibri"/>
        <family val="2"/>
        <scheme val="minor"/>
      </rPr>
      <t xml:space="preserve">Common name: </t>
    </r>
    <r>
      <rPr>
        <sz val="12"/>
        <rFont val="Calibri"/>
        <family val="2"/>
        <scheme val="minor"/>
      </rPr>
      <t xml:space="preserve">Little blue stem
</t>
    </r>
    <r>
      <rPr>
        <b/>
        <sz val="12"/>
        <rFont val="Calibri"/>
        <family val="2"/>
        <scheme val="minor"/>
      </rPr>
      <t xml:space="preserve">Size: </t>
    </r>
    <r>
      <rPr>
        <sz val="12"/>
        <rFont val="Calibri"/>
        <family val="2"/>
        <scheme val="minor"/>
      </rPr>
      <t>-</t>
    </r>
  </si>
  <si>
    <r>
      <rPr>
        <b/>
        <sz val="12"/>
        <rFont val="Calibri"/>
        <family val="2"/>
        <scheme val="minor"/>
      </rPr>
      <t xml:space="preserve">Botanical name: </t>
    </r>
    <r>
      <rPr>
        <sz val="12"/>
        <rFont val="Calibri"/>
        <family val="2"/>
        <scheme val="minor"/>
      </rPr>
      <t xml:space="preserve">Rudbeckia hirta 
</t>
    </r>
    <r>
      <rPr>
        <b/>
        <sz val="12"/>
        <rFont val="Calibri"/>
        <family val="2"/>
        <scheme val="minor"/>
      </rPr>
      <t xml:space="preserve">Common name: </t>
    </r>
    <r>
      <rPr>
        <sz val="12"/>
        <rFont val="Calibri"/>
        <family val="2"/>
        <scheme val="minor"/>
      </rPr>
      <t xml:space="preserve">Black eye susan
</t>
    </r>
    <r>
      <rPr>
        <b/>
        <sz val="12"/>
        <rFont val="Calibri"/>
        <family val="2"/>
        <scheme val="minor"/>
      </rPr>
      <t>Size:</t>
    </r>
    <r>
      <rPr>
        <sz val="12"/>
        <rFont val="Calibri"/>
        <family val="2"/>
        <scheme val="minor"/>
      </rPr>
      <t xml:space="preserve"> -</t>
    </r>
  </si>
  <si>
    <r>
      <rPr>
        <b/>
        <sz val="12"/>
        <rFont val="Calibri"/>
        <family val="2"/>
        <scheme val="minor"/>
      </rPr>
      <t xml:space="preserve">Botanical name: </t>
    </r>
    <r>
      <rPr>
        <sz val="12"/>
        <rFont val="Calibri"/>
        <family val="2"/>
        <scheme val="minor"/>
      </rPr>
      <t xml:space="preserve">Rhododendron
</t>
    </r>
    <r>
      <rPr>
        <b/>
        <sz val="12"/>
        <rFont val="Calibri"/>
        <family val="2"/>
        <scheme val="minor"/>
      </rPr>
      <t xml:space="preserve">Common name: </t>
    </r>
    <r>
      <rPr>
        <sz val="12"/>
        <rFont val="Calibri"/>
        <family val="2"/>
        <scheme val="minor"/>
      </rPr>
      <t xml:space="preserve">Small leaf rhododendron
</t>
    </r>
    <r>
      <rPr>
        <b/>
        <sz val="12"/>
        <rFont val="Calibri"/>
        <family val="2"/>
        <scheme val="minor"/>
      </rPr>
      <t>Size:</t>
    </r>
    <r>
      <rPr>
        <sz val="12"/>
        <rFont val="Calibri"/>
        <family val="2"/>
        <scheme val="minor"/>
      </rPr>
      <t xml:space="preserve"> -</t>
    </r>
  </si>
  <si>
    <t>Grass</t>
  </si>
  <si>
    <t>Hydroseed Turf</t>
  </si>
  <si>
    <t>Gravel buffer</t>
  </si>
  <si>
    <r>
      <t>Mulch @ planting areas</t>
    </r>
    <r>
      <rPr>
        <b/>
        <sz val="12"/>
        <rFont val="Calibri"/>
        <family val="2"/>
        <scheme val="minor"/>
      </rPr>
      <t xml:space="preserve"> (295 SF)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Assumed thickness: 3"</t>
    </r>
  </si>
  <si>
    <r>
      <t xml:space="preserve">Gravel buffer
</t>
    </r>
    <r>
      <rPr>
        <b/>
        <sz val="12"/>
        <rFont val="Calibri"/>
        <family val="2"/>
        <scheme val="minor"/>
      </rPr>
      <t>Thickness: 6"</t>
    </r>
  </si>
  <si>
    <t>Clear &amp; grubbing</t>
  </si>
  <si>
    <t>Clear &amp; grubbing (Grass &amp; debris removal)</t>
  </si>
  <si>
    <t>Plot Plan</t>
  </si>
  <si>
    <t>Sheet 1</t>
  </si>
  <si>
    <t>Sheet 2</t>
  </si>
  <si>
    <t>Sheet 3</t>
  </si>
  <si>
    <r>
      <t xml:space="preserve">Demolish asphalt pavement in public way for utilities
</t>
    </r>
    <r>
      <rPr>
        <b/>
        <sz val="12"/>
        <rFont val="Calibri"/>
        <family val="2"/>
        <scheme val="minor"/>
      </rPr>
      <t>Total thickness: 1'-3"
Sawcut = 140 LF</t>
    </r>
  </si>
  <si>
    <r>
      <t xml:space="preserve">Demolish concrete sidewalk for utilities
</t>
    </r>
    <r>
      <rPr>
        <b/>
        <sz val="12"/>
        <rFont val="Calibri"/>
        <family val="2"/>
        <scheme val="minor"/>
      </rPr>
      <t>Sawcut = 51 LF</t>
    </r>
  </si>
  <si>
    <t>Remove chain link fence including gates</t>
  </si>
  <si>
    <t>Silt fence</t>
  </si>
  <si>
    <t>Stabilized construction entrance as;
- 6" Thick crushed stone
- Filter fabric</t>
  </si>
  <si>
    <t>Construction entrance (Assumed - 50'x12')</t>
  </si>
  <si>
    <t>Silt fence (Assumed at perimeter of site)</t>
  </si>
  <si>
    <t>Bituminous pavements (Type I-1)</t>
  </si>
  <si>
    <t>L100</t>
  </si>
  <si>
    <t>Concrete pathway</t>
  </si>
  <si>
    <r>
      <t xml:space="preserve">Concrete pad for HVAC units
</t>
    </r>
    <r>
      <rPr>
        <b/>
        <sz val="12"/>
        <rFont val="Calibri"/>
        <family val="2"/>
        <scheme val="minor"/>
      </rPr>
      <t>Thickness assumed: 8"</t>
    </r>
  </si>
  <si>
    <t>New Bituminous pavement @ public right of way as;
- 1" Asphalt wearing course 
- 1 1/2" Asphalt binder course</t>
  </si>
  <si>
    <t>D.1/Sheet 3</t>
  </si>
  <si>
    <t>Vehicular driveway &amp;  turnaround area</t>
  </si>
  <si>
    <t>6" Thick Concrete driveway &amp; vehicualr turnaround (4000 Psi)</t>
  </si>
  <si>
    <t>Equipment pad</t>
  </si>
  <si>
    <t>Vertical granite curb (Assumed)</t>
  </si>
  <si>
    <t>4" Solid white parking striping @ vehicular turnaround area</t>
  </si>
  <si>
    <t>Vertical granite curb @ vehicular turnaround area</t>
  </si>
  <si>
    <t>Pavement strippping Subtotal</t>
  </si>
  <si>
    <t>Plaques</t>
  </si>
  <si>
    <t>Don’t dump plaque</t>
  </si>
  <si>
    <t>Plaque subtotal</t>
  </si>
  <si>
    <r>
      <t xml:space="preserve">"Don’t Dump" Fish plaque
</t>
    </r>
    <r>
      <rPr>
        <b/>
        <sz val="12"/>
        <rFont val="Calibri"/>
        <family val="2"/>
        <scheme val="minor"/>
      </rPr>
      <t>Size: 1'-2" L x 0'-8" W</t>
    </r>
  </si>
  <si>
    <t>Fencing</t>
  </si>
  <si>
    <t>Fencing subtotal</t>
  </si>
  <si>
    <t>Access gates</t>
  </si>
  <si>
    <r>
      <t xml:space="preserve">Concrete Base (3000 Psi)
</t>
    </r>
    <r>
      <rPr>
        <b/>
        <sz val="12"/>
        <rFont val="Calibri"/>
        <family val="2"/>
        <scheme val="minor"/>
      </rPr>
      <t>Assumed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Dia: 0'-10"
Assumed Depth: 3'-6"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Assumed spacing of concrete base = 8'-0" O.C.</t>
    </r>
  </si>
  <si>
    <t>Topsoil stripping</t>
  </si>
  <si>
    <t>Project manual
page 30</t>
  </si>
  <si>
    <t>Allowannce for topsoil stockpile</t>
  </si>
  <si>
    <t>Allowance for storm water inlet protections</t>
  </si>
  <si>
    <r>
      <t xml:space="preserve">Black vinyl chain link fence </t>
    </r>
    <r>
      <rPr>
        <b/>
        <sz val="12"/>
        <rFont val="Calibri"/>
        <family val="2"/>
        <scheme val="minor"/>
      </rPr>
      <t xml:space="preserve">
Height: 4'-0"</t>
    </r>
  </si>
  <si>
    <t>Project manual
page 34</t>
  </si>
  <si>
    <r>
      <t xml:space="preserve">Topsoil stripping
</t>
    </r>
    <r>
      <rPr>
        <b/>
        <sz val="12"/>
        <rFont val="Calibri"/>
        <family val="2"/>
        <scheme val="minor"/>
      </rPr>
      <t>Thickness: 6"</t>
    </r>
  </si>
  <si>
    <t>Schd/L100</t>
  </si>
  <si>
    <t>Rain garden</t>
  </si>
  <si>
    <r>
      <t xml:space="preserve">Topsoil
</t>
    </r>
    <r>
      <rPr>
        <b/>
        <sz val="12"/>
        <rFont val="Calibri"/>
        <family val="2"/>
        <scheme val="minor"/>
      </rPr>
      <t>Thickness: 8"</t>
    </r>
  </si>
  <si>
    <r>
      <t xml:space="preserve">Mulch
</t>
    </r>
    <r>
      <rPr>
        <b/>
        <sz val="12"/>
        <rFont val="Calibri"/>
        <family val="2"/>
        <scheme val="minor"/>
      </rPr>
      <t>Thickness: 9"</t>
    </r>
  </si>
  <si>
    <r>
      <t xml:space="preserve">Gravel 
</t>
    </r>
    <r>
      <rPr>
        <b/>
        <sz val="12"/>
        <rFont val="Calibri"/>
        <family val="2"/>
        <scheme val="minor"/>
      </rPr>
      <t>Thickness: 14"</t>
    </r>
  </si>
  <si>
    <t>Topsoil spread</t>
  </si>
  <si>
    <r>
      <t xml:space="preserve">Topsoil spread @ grass and planting areas
</t>
    </r>
    <r>
      <rPr>
        <b/>
        <sz val="12"/>
        <rFont val="Calibri"/>
        <family val="2"/>
        <scheme val="minor"/>
      </rPr>
      <t>Thickness: 6"</t>
    </r>
  </si>
  <si>
    <t>Project manial
Page 35</t>
  </si>
  <si>
    <r>
      <t xml:space="preserve">1" Type K copper domestic water pipe
</t>
    </r>
    <r>
      <rPr>
        <b/>
        <sz val="12"/>
        <rFont val="Calibri"/>
        <family val="2"/>
        <scheme val="minor"/>
      </rPr>
      <t xml:space="preserve">Assumed pipe: Ductile iron class 56 &amp; zinc coated </t>
    </r>
  </si>
  <si>
    <t>5/8 Water meter</t>
  </si>
  <si>
    <r>
      <t xml:space="preserve">Excavation
</t>
    </r>
    <r>
      <rPr>
        <b/>
        <sz val="12"/>
        <rFont val="Calibri"/>
        <family val="2"/>
        <scheme val="minor"/>
      </rPr>
      <t xml:space="preserve">Width: 3'-0"
Average depth: 4'-0" </t>
    </r>
  </si>
  <si>
    <t>Sheeting/shoring @ public right of way</t>
  </si>
  <si>
    <t>Corporation stop including
- 2" PVC Main tube
- Cap provided by B.W.S.C</t>
  </si>
  <si>
    <r>
      <rPr>
        <b/>
        <sz val="12"/>
        <rFont val="Calibri"/>
        <family val="2"/>
        <scheme val="minor"/>
      </rPr>
      <t xml:space="preserve">(5'-6" H) </t>
    </r>
    <r>
      <rPr>
        <sz val="12"/>
        <rFont val="Calibri"/>
        <family val="2"/>
        <scheme val="minor"/>
      </rPr>
      <t>Sidewalk upright extension tube &amp; sidewalk cock</t>
    </r>
  </si>
  <si>
    <t>6" PVC SDR35 sanitary sewer pipe</t>
  </si>
  <si>
    <t>3/4" Crushed stone bedding &amp; haunch</t>
  </si>
  <si>
    <t>Compacted type A gravel borrow</t>
  </si>
  <si>
    <r>
      <t xml:space="preserve">Excavation
</t>
    </r>
    <r>
      <rPr>
        <b/>
        <sz val="12"/>
        <rFont val="Calibri"/>
        <family val="2"/>
        <scheme val="minor"/>
      </rPr>
      <t>Width: 3'-8"
Depth: 8'-0"</t>
    </r>
  </si>
  <si>
    <t>Storm infiltration system</t>
  </si>
  <si>
    <t>Connection to existing sanitary sewer main w/
- Saddle connection with wye
- Stainless strapping</t>
  </si>
  <si>
    <r>
      <t xml:space="preserve">Excavation
</t>
    </r>
    <r>
      <rPr>
        <b/>
        <sz val="12"/>
        <rFont val="Calibri"/>
        <family val="2"/>
        <scheme val="minor"/>
      </rPr>
      <t>Area: 155'-0"
Depth: 5'-6"</t>
    </r>
  </si>
  <si>
    <r>
      <t xml:space="preserve">Excavation
</t>
    </r>
    <r>
      <rPr>
        <b/>
        <sz val="12"/>
        <rFont val="Calibri"/>
        <family val="2"/>
        <scheme val="minor"/>
      </rPr>
      <t>Assumed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Width: 3'-0"
Assumed Depth: 4'-0" </t>
    </r>
  </si>
  <si>
    <r>
      <t xml:space="preserve">Gas Meter </t>
    </r>
    <r>
      <rPr>
        <b/>
        <sz val="12"/>
        <rFont val="Calibri"/>
        <family val="2"/>
        <scheme val="minor"/>
      </rPr>
      <t>(Assumed)</t>
    </r>
  </si>
  <si>
    <t>4" PVC SDR35 drain pipe</t>
  </si>
  <si>
    <t>6" PVC Equalizer drain pipe</t>
  </si>
  <si>
    <t>6" PVC SDR35 drain pipe</t>
  </si>
  <si>
    <r>
      <t xml:space="preserve">Excavation
</t>
    </r>
    <r>
      <rPr>
        <b/>
        <sz val="12"/>
        <rFont val="Calibri"/>
        <family val="2"/>
        <scheme val="minor"/>
      </rPr>
      <t>Width: 3'-8"
Depth1: 3'-0"
Depth2: 6'-0"</t>
    </r>
  </si>
  <si>
    <t>(5' Dia x 5'-6" H) Precast concrete catch basin w/
- Catch basin frame and grate</t>
  </si>
  <si>
    <t>6" Crushed stone</t>
  </si>
  <si>
    <r>
      <t xml:space="preserve">Excavation
</t>
    </r>
    <r>
      <rPr>
        <b/>
        <sz val="12"/>
        <rFont val="Calibri"/>
        <family val="2"/>
        <scheme val="minor"/>
      </rPr>
      <t>Dia: 6'-0"
Depth: 12'-0"</t>
    </r>
  </si>
  <si>
    <t>Backwater valve</t>
  </si>
  <si>
    <t>Cleanouts</t>
  </si>
  <si>
    <t>Retaining walls</t>
  </si>
  <si>
    <t>Concrete (4000 Psi)</t>
  </si>
  <si>
    <r>
      <t xml:space="preserve">Reinforcement 
</t>
    </r>
    <r>
      <rPr>
        <b/>
        <sz val="12"/>
        <rFont val="Calibri"/>
        <family val="2"/>
        <scheme val="minor"/>
      </rPr>
      <t>Assumed: #5 @ 12" O.C. Each way bottom</t>
    </r>
  </si>
  <si>
    <t>Granite curb corner, Type A, 2' R</t>
  </si>
  <si>
    <t>Footing
Length: 45'-0"
Assumed Width: 3'-0"
Assumed Depth: 1'-0"</t>
  </si>
  <si>
    <t>Wall
Length: 45'-0"
Width: 1'-0"
Depth: 2'-0" (Average)</t>
  </si>
  <si>
    <r>
      <t xml:space="preserve">Reinforcement 
</t>
    </r>
    <r>
      <rPr>
        <b/>
        <sz val="12"/>
        <rFont val="Calibri"/>
        <family val="2"/>
        <scheme val="minor"/>
      </rPr>
      <t>Assumed: #5 @ 12" O.C. Each way each face</t>
    </r>
  </si>
  <si>
    <t>Retaining walls subtotal</t>
  </si>
  <si>
    <t>Please Add Price</t>
  </si>
  <si>
    <t>Trench drian</t>
  </si>
  <si>
    <t xml:space="preserve">ACO Klassik drain K200 W/
- Duraslope class A or B grates </t>
  </si>
  <si>
    <t xml:space="preserve">Site demolition </t>
  </si>
  <si>
    <t xml:space="preserve">Erosion &amp; sediment control </t>
  </si>
  <si>
    <t xml:space="preserve">Pavements </t>
  </si>
  <si>
    <t xml:space="preserve">Curbs </t>
  </si>
  <si>
    <t xml:space="preserve">Pavement strippping </t>
  </si>
  <si>
    <t xml:space="preserve">Plaque </t>
  </si>
  <si>
    <t xml:space="preserve">Fencing </t>
  </si>
  <si>
    <t xml:space="preserve">Retaining walls </t>
  </si>
  <si>
    <t xml:space="preserve">Earthwork </t>
  </si>
  <si>
    <t xml:space="preserve">Utilities </t>
  </si>
  <si>
    <t xml:space="preserve">Landscape </t>
  </si>
  <si>
    <t>Vertical granite curb @ public right of way</t>
  </si>
  <si>
    <t>Concrete sidewalk</t>
  </si>
  <si>
    <t>4" Thick Concrete sidewlak 4000 Psi)</t>
  </si>
  <si>
    <t>4" Thick Concrete pathway (4000 Psi)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</si>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</sst>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&quot;$&quot;#,##0"/>
    <numFmt numFmtId="166" formatCode="_(&quot;$&quot;* #,##0_);_(&quot;$&quot;* \(#,##0\);_(&quot;$&quot;* &quot;-&quot;??_);_(@_)"/>
    <numFmt numFmtId="167" formatCode="_(&quot;$&quot;* #,##0_);_(&quot;$&quot;* \(#,##0\);_(&quot;$&quot;* &quot;-&quot;?_);_(@_)"/>
    <numFmt numFmtId="168" formatCode="_(&quot;$&quot;* #,##0.00_);_(&quot;$&quot;* \(#,##0.00\);_(&quot;$&quot;* &quot;-&quot;?_);_(@_)"/>
    <numFmt numFmtId="169" formatCode="0.0000000"/>
    <numFmt numFmtId="170" formatCode="0\ &quot;CY&quot;"/>
  </numFmts>
  <fonts count="52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Verdana"/>
      <family val="2"/>
    </font>
    <font>
      <b/>
      <i/>
      <sz val="12"/>
      <color rgb="FF00206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name val="Times New Roman"/>
      <family val="1"/>
    </font>
    <font>
      <sz val="12"/>
      <name val="Arial"/>
    </font>
    <font>
      <b/>
      <sz val="12"/>
      <color rgb="FFF50101"/>
      <name val="Calibri"/>
      <family val="2"/>
      <scheme val="minor"/>
    </font>
    <font>
      <b/>
      <sz val="12"/>
      <color theme="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color theme="0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FF512C"/>
      <name val="Times New Roman"/>
      <family val="1"/>
    </font>
    <font>
      <b/>
      <i/>
      <sz val="12"/>
      <color theme="5" tint="-0.249977111117893"/>
      <name val="Times New Roman"/>
      <family val="1"/>
    </font>
    <font>
      <b/>
      <i/>
      <sz val="12"/>
      <color rgb="FFF50101"/>
      <name val="Calibri"/>
      <family val="2"/>
      <scheme val="minor"/>
    </font>
    <font>
      <i/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D2DC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6" fillId="0" borderId="0"/>
    <xf numFmtId="0" fontId="6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24" fillId="0" borderId="0"/>
    <xf numFmtId="0" fontId="6" fillId="0" borderId="0"/>
    <xf numFmtId="43" fontId="24" fillId="0" borderId="0" applyFont="0" applyFill="0" applyBorder="0" applyAlignment="0" applyProtection="0"/>
    <xf numFmtId="0" fontId="25" fillId="0" borderId="0"/>
    <xf numFmtId="43" fontId="6" fillId="0" borderId="0" applyFont="0" applyFill="0" applyBorder="0" applyAlignment="0" applyProtection="0"/>
    <xf numFmtId="0" fontId="6" fillId="0" borderId="0"/>
    <xf numFmtId="44" fontId="25" fillId="0" borderId="0" applyFont="0" applyFill="0" applyBorder="0" applyAlignment="0" applyProtection="0"/>
    <xf numFmtId="0" fontId="3" fillId="0" borderId="0"/>
    <xf numFmtId="0" fontId="6" fillId="0" borderId="0"/>
    <xf numFmtId="0" fontId="3" fillId="0" borderId="0"/>
    <xf numFmtId="0" fontId="29" fillId="0" borderId="0" applyNumberForma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1" fillId="0" borderId="0"/>
    <xf numFmtId="9" fontId="40" fillId="0" borderId="0" applyFont="0" applyFill="0" applyBorder="0" applyAlignment="0" applyProtection="0"/>
  </cellStyleXfs>
  <cellXfs count="230">
    <xf numFmtId="0" fontId="0" fillId="0" borderId="0" xfId="0"/>
    <xf numFmtId="14" fontId="26" fillId="24" borderId="0" xfId="0" applyNumberFormat="1" applyFont="1" applyFill="1" applyBorder="1" applyAlignment="1">
      <alignment horizontal="left" vertical="top"/>
    </xf>
    <xf numFmtId="166" fontId="27" fillId="0" borderId="29" xfId="55" applyNumberFormat="1" applyFont="1" applyFill="1" applyBorder="1" applyAlignment="1">
      <alignment horizontal="center" vertical="top"/>
    </xf>
    <xf numFmtId="166" fontId="26" fillId="0" borderId="29" xfId="55" applyNumberFormat="1" applyFont="1" applyFill="1" applyBorder="1" applyAlignment="1">
      <alignment horizontal="center" vertical="top"/>
    </xf>
    <xf numFmtId="44" fontId="26" fillId="0" borderId="31" xfId="55" applyNumberFormat="1" applyFont="1" applyFill="1" applyBorder="1" applyAlignment="1">
      <alignment horizontal="center" vertical="top"/>
    </xf>
    <xf numFmtId="166" fontId="27" fillId="0" borderId="19" xfId="55" applyNumberFormat="1" applyFont="1" applyFill="1" applyBorder="1" applyAlignment="1">
      <alignment horizontal="center" vertical="top"/>
    </xf>
    <xf numFmtId="0" fontId="26" fillId="24" borderId="10" xfId="45" applyFont="1" applyFill="1" applyBorder="1" applyAlignment="1" applyProtection="1">
      <alignment horizontal="center" vertical="top" wrapText="1"/>
    </xf>
    <xf numFmtId="1" fontId="26" fillId="24" borderId="10" xfId="45" applyNumberFormat="1" applyFont="1" applyFill="1" applyBorder="1" applyAlignment="1" applyProtection="1">
      <alignment horizontal="right" vertical="top"/>
    </xf>
    <xf numFmtId="0" fontId="26" fillId="0" borderId="0" xfId="45" applyFont="1" applyFill="1" applyBorder="1" applyAlignment="1">
      <alignment vertical="top"/>
    </xf>
    <xf numFmtId="41" fontId="26" fillId="24" borderId="17" xfId="45" applyNumberFormat="1" applyFont="1" applyFill="1" applyBorder="1" applyAlignment="1">
      <alignment horizontal="center" vertical="top"/>
    </xf>
    <xf numFmtId="0" fontId="26" fillId="24" borderId="17" xfId="45" applyFont="1" applyFill="1" applyBorder="1" applyAlignment="1">
      <alignment horizontal="center" vertical="top"/>
    </xf>
    <xf numFmtId="168" fontId="26" fillId="24" borderId="17" xfId="45" applyNumberFormat="1" applyFont="1" applyFill="1" applyBorder="1" applyAlignment="1" applyProtection="1">
      <alignment horizontal="center" vertical="top"/>
    </xf>
    <xf numFmtId="1" fontId="26" fillId="24" borderId="13" xfId="45" applyNumberFormat="1" applyFont="1" applyFill="1" applyBorder="1" applyAlignment="1" applyProtection="1">
      <alignment horizontal="right" vertical="top"/>
    </xf>
    <xf numFmtId="1" fontId="26" fillId="0" borderId="10" xfId="45" applyNumberFormat="1" applyFont="1" applyFill="1" applyBorder="1" applyAlignment="1">
      <alignment horizontal="center" vertical="top"/>
    </xf>
    <xf numFmtId="0" fontId="26" fillId="0" borderId="10" xfId="45" applyFont="1" applyFill="1" applyBorder="1" applyAlignment="1">
      <alignment horizontal="center" vertical="top"/>
    </xf>
    <xf numFmtId="168" fontId="26" fillId="0" borderId="10" xfId="45" applyNumberFormat="1" applyFont="1" applyFill="1" applyBorder="1" applyAlignment="1" applyProtection="1">
      <alignment horizontal="center" vertical="top"/>
    </xf>
    <xf numFmtId="166" fontId="27" fillId="24" borderId="0" xfId="55" applyNumberFormat="1" applyFont="1" applyFill="1" applyBorder="1" applyAlignment="1" applyProtection="1">
      <alignment horizontal="left" vertical="top"/>
    </xf>
    <xf numFmtId="0" fontId="27" fillId="24" borderId="0" xfId="0" applyFont="1" applyFill="1" applyBorder="1" applyAlignment="1">
      <alignment horizontal="left" vertical="top"/>
    </xf>
    <xf numFmtId="0" fontId="26" fillId="0" borderId="11" xfId="45" applyFont="1" applyFill="1" applyBorder="1" applyAlignment="1">
      <alignment vertical="top"/>
    </xf>
    <xf numFmtId="2" fontId="5" fillId="24" borderId="11" xfId="45" applyNumberFormat="1" applyFont="1" applyFill="1" applyBorder="1" applyAlignment="1">
      <alignment vertical="top"/>
    </xf>
    <xf numFmtId="2" fontId="27" fillId="24" borderId="11" xfId="45" applyNumberFormat="1" applyFont="1" applyFill="1" applyBorder="1" applyAlignment="1">
      <alignment horizontal="left" vertical="top"/>
    </xf>
    <xf numFmtId="2" fontId="5" fillId="24" borderId="0" xfId="45" applyNumberFormat="1" applyFont="1" applyFill="1" applyBorder="1" applyAlignment="1">
      <alignment vertical="top"/>
    </xf>
    <xf numFmtId="0" fontId="26" fillId="24" borderId="0" xfId="45" applyFont="1" applyFill="1" applyBorder="1" applyAlignment="1">
      <alignment vertical="top"/>
    </xf>
    <xf numFmtId="2" fontId="27" fillId="24" borderId="0" xfId="45" applyNumberFormat="1" applyFont="1" applyFill="1" applyBorder="1" applyAlignment="1">
      <alignment horizontal="left" vertical="top"/>
    </xf>
    <xf numFmtId="0" fontId="30" fillId="0" borderId="0" xfId="45" applyFont="1" applyFill="1" applyBorder="1" applyAlignment="1">
      <alignment horizontal="center" vertical="top" wrapText="1"/>
    </xf>
    <xf numFmtId="0" fontId="26" fillId="0" borderId="22" xfId="45" applyFont="1" applyFill="1" applyBorder="1" applyAlignment="1" applyProtection="1">
      <alignment horizontal="center" vertical="top"/>
    </xf>
    <xf numFmtId="167" fontId="27" fillId="24" borderId="33" xfId="45" applyNumberFormat="1" applyFont="1" applyFill="1" applyBorder="1" applyAlignment="1" applyProtection="1">
      <alignment horizontal="center" vertical="top"/>
    </xf>
    <xf numFmtId="0" fontId="31" fillId="26" borderId="0" xfId="45" applyFont="1" applyFill="1" applyBorder="1" applyAlignment="1">
      <alignment vertical="top"/>
    </xf>
    <xf numFmtId="0" fontId="26" fillId="24" borderId="0" xfId="45" applyFont="1" applyFill="1" applyBorder="1" applyAlignment="1" applyProtection="1">
      <alignment horizontal="center" vertical="top" wrapText="1"/>
    </xf>
    <xf numFmtId="1" fontId="26" fillId="25" borderId="21" xfId="45" applyNumberFormat="1" applyFont="1" applyFill="1" applyBorder="1" applyAlignment="1">
      <alignment horizontal="center" vertical="top"/>
    </xf>
    <xf numFmtId="0" fontId="26" fillId="0" borderId="31" xfId="45" applyFont="1" applyFill="1" applyBorder="1" applyAlignment="1">
      <alignment horizontal="center" vertical="top"/>
    </xf>
    <xf numFmtId="167" fontId="27" fillId="0" borderId="0" xfId="45" applyNumberFormat="1" applyFont="1" applyFill="1" applyBorder="1" applyAlignment="1" applyProtection="1">
      <alignment horizontal="center" vertical="top"/>
    </xf>
    <xf numFmtId="0" fontId="26" fillId="24" borderId="10" xfId="45" applyFont="1" applyFill="1" applyBorder="1" applyAlignment="1" applyProtection="1">
      <alignment horizontal="center" vertical="top"/>
    </xf>
    <xf numFmtId="0" fontId="26" fillId="24" borderId="15" xfId="45" applyFont="1" applyFill="1" applyBorder="1" applyAlignment="1" applyProtection="1">
      <alignment horizontal="center" vertical="top" wrapText="1"/>
    </xf>
    <xf numFmtId="2" fontId="26" fillId="0" borderId="27" xfId="45" applyNumberFormat="1" applyFont="1" applyFill="1" applyBorder="1" applyAlignment="1">
      <alignment horizontal="left" vertical="top" wrapText="1"/>
    </xf>
    <xf numFmtId="1" fontId="26" fillId="0" borderId="13" xfId="45" applyNumberFormat="1" applyFont="1" applyFill="1" applyBorder="1" applyAlignment="1">
      <alignment horizontal="center" vertical="top"/>
    </xf>
    <xf numFmtId="166" fontId="26" fillId="0" borderId="15" xfId="45" applyNumberFormat="1" applyFont="1" applyFill="1" applyBorder="1" applyAlignment="1">
      <alignment horizontal="center" vertical="top"/>
    </xf>
    <xf numFmtId="0" fontId="26" fillId="27" borderId="16" xfId="45" applyFont="1" applyFill="1" applyBorder="1" applyAlignment="1">
      <alignment vertical="top"/>
    </xf>
    <xf numFmtId="2" fontId="26" fillId="0" borderId="26" xfId="45" applyNumberFormat="1" applyFont="1" applyFill="1" applyBorder="1" applyAlignment="1">
      <alignment horizontal="left" vertical="top" wrapText="1"/>
    </xf>
    <xf numFmtId="0" fontId="26" fillId="24" borderId="13" xfId="45" applyFont="1" applyFill="1" applyBorder="1" applyAlignment="1" applyProtection="1">
      <alignment horizontal="center" vertical="top" wrapText="1"/>
    </xf>
    <xf numFmtId="166" fontId="26" fillId="24" borderId="23" xfId="45" applyNumberFormat="1" applyFont="1" applyFill="1" applyBorder="1" applyAlignment="1">
      <alignment horizontal="center" vertical="top"/>
    </xf>
    <xf numFmtId="166" fontId="26" fillId="24" borderId="32" xfId="45" applyNumberFormat="1" applyFont="1" applyFill="1" applyBorder="1" applyAlignment="1">
      <alignment horizontal="center" vertical="top"/>
    </xf>
    <xf numFmtId="2" fontId="34" fillId="0" borderId="10" xfId="45" applyNumberFormat="1" applyFont="1" applyFill="1" applyBorder="1" applyAlignment="1">
      <alignment horizontal="left" vertical="top" wrapText="1"/>
    </xf>
    <xf numFmtId="0" fontId="26" fillId="0" borderId="20" xfId="45" applyFont="1" applyFill="1" applyBorder="1" applyAlignment="1">
      <alignment vertical="top"/>
    </xf>
    <xf numFmtId="1" fontId="27" fillId="0" borderId="14" xfId="45" applyNumberFormat="1" applyFont="1" applyFill="1" applyBorder="1" applyAlignment="1">
      <alignment horizontal="left" vertical="top"/>
    </xf>
    <xf numFmtId="0" fontId="26" fillId="0" borderId="14" xfId="45" applyFont="1" applyFill="1" applyBorder="1" applyAlignment="1">
      <alignment horizontal="left" vertical="top" wrapText="1"/>
    </xf>
    <xf numFmtId="1" fontId="26" fillId="0" borderId="14" xfId="45" applyNumberFormat="1" applyFont="1" applyFill="1" applyBorder="1" applyAlignment="1">
      <alignment horizontal="center" vertical="top"/>
    </xf>
    <xf numFmtId="0" fontId="26" fillId="0" borderId="14" xfId="45" applyFont="1" applyFill="1" applyBorder="1" applyAlignment="1">
      <alignment horizontal="center" vertical="top"/>
    </xf>
    <xf numFmtId="44" fontId="26" fillId="0" borderId="14" xfId="55" applyFont="1" applyFill="1" applyBorder="1" applyAlignment="1">
      <alignment horizontal="center" vertical="top"/>
    </xf>
    <xf numFmtId="165" fontId="26" fillId="0" borderId="30" xfId="45" applyNumberFormat="1" applyFont="1" applyBorder="1" applyAlignment="1">
      <alignment vertical="top"/>
    </xf>
    <xf numFmtId="0" fontId="31" fillId="24" borderId="20" xfId="45" applyFont="1" applyFill="1" applyBorder="1" applyAlignment="1">
      <alignment vertical="top"/>
    </xf>
    <xf numFmtId="0" fontId="26" fillId="0" borderId="0" xfId="45" applyFont="1" applyBorder="1" applyAlignment="1">
      <alignment vertical="top"/>
    </xf>
    <xf numFmtId="0" fontId="26" fillId="0" borderId="0" xfId="45" applyFont="1" applyBorder="1" applyAlignment="1">
      <alignment horizontal="center" vertical="top"/>
    </xf>
    <xf numFmtId="2" fontId="26" fillId="0" borderId="0" xfId="45" applyNumberFormat="1" applyFont="1" applyBorder="1" applyAlignment="1">
      <alignment horizontal="left" vertical="top" wrapText="1"/>
    </xf>
    <xf numFmtId="1" fontId="26" fillId="0" borderId="0" xfId="45" applyNumberFormat="1" applyFont="1" applyBorder="1" applyAlignment="1">
      <alignment horizontal="center" vertical="top" wrapText="1"/>
    </xf>
    <xf numFmtId="44" fontId="26" fillId="0" borderId="0" xfId="55" applyFont="1" applyBorder="1" applyAlignment="1">
      <alignment horizontal="center" vertical="top"/>
    </xf>
    <xf numFmtId="165" fontId="26" fillId="0" borderId="0" xfId="45" applyNumberFormat="1" applyFont="1" applyBorder="1" applyAlignment="1">
      <alignment vertical="top"/>
    </xf>
    <xf numFmtId="0" fontId="26" fillId="0" borderId="12" xfId="45" applyFont="1" applyBorder="1" applyAlignment="1">
      <alignment horizontal="center" vertical="top"/>
    </xf>
    <xf numFmtId="44" fontId="26" fillId="29" borderId="10" xfId="55" applyNumberFormat="1" applyFont="1" applyFill="1" applyBorder="1" applyAlignment="1" applyProtection="1">
      <alignment horizontal="center" vertical="top"/>
    </xf>
    <xf numFmtId="167" fontId="27" fillId="24" borderId="20" xfId="45" applyNumberFormat="1" applyFont="1" applyFill="1" applyBorder="1" applyAlignment="1" applyProtection="1">
      <alignment horizontal="center" vertical="top"/>
    </xf>
    <xf numFmtId="0" fontId="26" fillId="24" borderId="15" xfId="45" applyFont="1" applyFill="1" applyBorder="1" applyAlignment="1" applyProtection="1">
      <alignment horizontal="center" vertical="top"/>
    </xf>
    <xf numFmtId="0" fontId="27" fillId="27" borderId="25" xfId="45" applyFont="1" applyFill="1" applyBorder="1" applyAlignment="1">
      <alignment vertical="top"/>
    </xf>
    <xf numFmtId="0" fontId="26" fillId="27" borderId="28" xfId="45" applyFont="1" applyFill="1" applyBorder="1" applyAlignment="1">
      <alignment vertical="top"/>
    </xf>
    <xf numFmtId="44" fontId="26" fillId="0" borderId="0" xfId="45" applyNumberFormat="1" applyFont="1" applyFill="1" applyBorder="1" applyAlignment="1">
      <alignment vertical="top"/>
    </xf>
    <xf numFmtId="44" fontId="26" fillId="0" borderId="0" xfId="45" applyNumberFormat="1" applyFont="1" applyBorder="1" applyAlignment="1">
      <alignment vertical="top"/>
    </xf>
    <xf numFmtId="169" fontId="26" fillId="0" borderId="0" xfId="45" applyNumberFormat="1" applyFont="1" applyFill="1" applyBorder="1" applyAlignment="1">
      <alignment vertical="top"/>
    </xf>
    <xf numFmtId="2" fontId="27" fillId="0" borderId="10" xfId="45" applyNumberFormat="1" applyFont="1" applyFill="1" applyBorder="1" applyAlignment="1">
      <alignment horizontal="right" vertical="top" wrapText="1"/>
    </xf>
    <xf numFmtId="2" fontId="29" fillId="24" borderId="0" xfId="54" applyNumberFormat="1" applyFill="1" applyBorder="1" applyAlignment="1">
      <alignment horizontal="center" vertical="top"/>
    </xf>
    <xf numFmtId="2" fontId="5" fillId="24" borderId="35" xfId="45" applyNumberFormat="1" applyFont="1" applyFill="1" applyBorder="1" applyAlignment="1">
      <alignment vertical="top"/>
    </xf>
    <xf numFmtId="14" fontId="33" fillId="24" borderId="20" xfId="45" applyNumberFormat="1" applyFont="1" applyFill="1" applyBorder="1" applyAlignment="1">
      <alignment horizontal="left" vertical="top"/>
    </xf>
    <xf numFmtId="2" fontId="29" fillId="24" borderId="20" xfId="54" applyNumberFormat="1" applyFill="1" applyBorder="1" applyAlignment="1">
      <alignment horizontal="center" vertical="top"/>
    </xf>
    <xf numFmtId="0" fontId="26" fillId="24" borderId="20" xfId="45" applyFont="1" applyFill="1" applyBorder="1" applyAlignment="1">
      <alignment vertical="top"/>
    </xf>
    <xf numFmtId="0" fontId="26" fillId="0" borderId="34" xfId="45" applyFont="1" applyBorder="1" applyAlignment="1">
      <alignment horizontal="center" vertical="top"/>
    </xf>
    <xf numFmtId="2" fontId="26" fillId="0" borderId="34" xfId="45" applyNumberFormat="1" applyFont="1" applyBorder="1" applyAlignment="1">
      <alignment horizontal="left" vertical="top" wrapText="1"/>
    </xf>
    <xf numFmtId="1" fontId="26" fillId="0" borderId="34" xfId="45" applyNumberFormat="1" applyFont="1" applyBorder="1" applyAlignment="1">
      <alignment horizontal="center" vertical="top" wrapText="1"/>
    </xf>
    <xf numFmtId="44" fontId="26" fillId="0" borderId="34" xfId="55" applyFont="1" applyBorder="1" applyAlignment="1">
      <alignment horizontal="center" vertical="top"/>
    </xf>
    <xf numFmtId="165" fontId="26" fillId="0" borderId="34" xfId="45" applyNumberFormat="1" applyFont="1" applyBorder="1" applyAlignment="1">
      <alignment vertical="top"/>
    </xf>
    <xf numFmtId="0" fontId="26" fillId="24" borderId="21" xfId="45" applyFont="1" applyFill="1" applyBorder="1" applyAlignment="1">
      <alignment vertical="top"/>
    </xf>
    <xf numFmtId="170" fontId="37" fillId="24" borderId="10" xfId="45" applyNumberFormat="1" applyFont="1" applyFill="1" applyBorder="1" applyAlignment="1" applyProtection="1">
      <alignment horizontal="center" vertical="top" wrapText="1"/>
    </xf>
    <xf numFmtId="0" fontId="6" fillId="0" borderId="38" xfId="45" applyBorder="1"/>
    <xf numFmtId="0" fontId="26" fillId="24" borderId="35" xfId="45" applyFont="1" applyFill="1" applyBorder="1" applyAlignment="1">
      <alignment vertical="top"/>
    </xf>
    <xf numFmtId="0" fontId="6" fillId="0" borderId="0" xfId="45"/>
    <xf numFmtId="0" fontId="6" fillId="0" borderId="12" xfId="45" applyBorder="1"/>
    <xf numFmtId="0" fontId="27" fillId="24" borderId="12" xfId="45" applyFont="1" applyFill="1" applyBorder="1" applyAlignment="1">
      <alignment horizontal="left" vertical="top"/>
    </xf>
    <xf numFmtId="0" fontId="27" fillId="24" borderId="0" xfId="45" applyFont="1" applyFill="1" applyBorder="1" applyAlignment="1">
      <alignment horizontal="left" vertical="top"/>
    </xf>
    <xf numFmtId="2" fontId="39" fillId="28" borderId="0" xfId="45" applyNumberFormat="1" applyFont="1" applyFill="1" applyBorder="1" applyAlignment="1">
      <alignment vertical="top"/>
    </xf>
    <xf numFmtId="0" fontId="27" fillId="24" borderId="20" xfId="45" applyFont="1" applyFill="1" applyBorder="1" applyAlignment="1">
      <alignment horizontal="left" vertical="top"/>
    </xf>
    <xf numFmtId="14" fontId="26" fillId="24" borderId="0" xfId="45" applyNumberFormat="1" applyFont="1" applyFill="1" applyBorder="1" applyAlignment="1">
      <alignment horizontal="left" vertical="top"/>
    </xf>
    <xf numFmtId="14" fontId="26" fillId="24" borderId="12" xfId="45" applyNumberFormat="1" applyFont="1" applyFill="1" applyBorder="1" applyAlignment="1">
      <alignment horizontal="left" vertical="top"/>
    </xf>
    <xf numFmtId="14" fontId="26" fillId="24" borderId="20" xfId="45" applyNumberFormat="1" applyFont="1" applyFill="1" applyBorder="1" applyAlignment="1">
      <alignment horizontal="left" vertical="top"/>
    </xf>
    <xf numFmtId="0" fontId="6" fillId="24" borderId="0" xfId="45" applyFill="1"/>
    <xf numFmtId="0" fontId="6" fillId="0" borderId="20" xfId="45" applyBorder="1"/>
    <xf numFmtId="0" fontId="6" fillId="0" borderId="36" xfId="45" applyBorder="1"/>
    <xf numFmtId="0" fontId="6" fillId="0" borderId="21" xfId="45" applyBorder="1"/>
    <xf numFmtId="1" fontId="26" fillId="25" borderId="28" xfId="45" applyNumberFormat="1" applyFont="1" applyFill="1" applyBorder="1" applyAlignment="1">
      <alignment horizontal="center" vertical="top"/>
    </xf>
    <xf numFmtId="0" fontId="38" fillId="0" borderId="0" xfId="45" applyFont="1" applyFill="1" applyBorder="1" applyAlignment="1">
      <alignment vertical="top" wrapText="1"/>
    </xf>
    <xf numFmtId="2" fontId="27" fillId="25" borderId="36" xfId="45" applyNumberFormat="1" applyFont="1" applyFill="1" applyBorder="1" applyAlignment="1">
      <alignment horizontal="left" vertical="top" wrapText="1"/>
    </xf>
    <xf numFmtId="1" fontId="36" fillId="29" borderId="18" xfId="45" applyNumberFormat="1" applyFont="1" applyFill="1" applyBorder="1" applyAlignment="1">
      <alignment horizontal="left" vertical="top"/>
    </xf>
    <xf numFmtId="1" fontId="36" fillId="29" borderId="24" xfId="45" applyNumberFormat="1" applyFont="1" applyFill="1" applyBorder="1" applyAlignment="1">
      <alignment horizontal="left" vertical="top"/>
    </xf>
    <xf numFmtId="1" fontId="36" fillId="29" borderId="17" xfId="45" applyNumberFormat="1" applyFont="1" applyFill="1" applyBorder="1" applyAlignment="1">
      <alignment horizontal="left" vertical="top"/>
    </xf>
    <xf numFmtId="0" fontId="31" fillId="29" borderId="17" xfId="45" applyFont="1" applyFill="1" applyBorder="1" applyAlignment="1">
      <alignment horizontal="left" vertical="top" wrapText="1"/>
    </xf>
    <xf numFmtId="1" fontId="31" fillId="29" borderId="17" xfId="45" applyNumberFormat="1" applyFont="1" applyFill="1" applyBorder="1" applyAlignment="1">
      <alignment horizontal="center" vertical="top"/>
    </xf>
    <xf numFmtId="0" fontId="31" fillId="29" borderId="17" xfId="45" applyFont="1" applyFill="1" applyBorder="1" applyAlignment="1">
      <alignment horizontal="center" vertical="top"/>
    </xf>
    <xf numFmtId="44" fontId="31" fillId="29" borderId="23" xfId="55" applyFont="1" applyFill="1" applyBorder="1" applyAlignment="1">
      <alignment horizontal="center" vertical="top"/>
    </xf>
    <xf numFmtId="166" fontId="36" fillId="29" borderId="19" xfId="45" applyNumberFormat="1" applyFont="1" applyFill="1" applyBorder="1" applyAlignment="1">
      <alignment horizontal="left" vertical="top"/>
    </xf>
    <xf numFmtId="2" fontId="27" fillId="0" borderId="26" xfId="45" applyNumberFormat="1" applyFont="1" applyFill="1" applyBorder="1" applyAlignment="1">
      <alignment horizontal="left" vertical="top" wrapText="1"/>
    </xf>
    <xf numFmtId="2" fontId="27" fillId="0" borderId="27" xfId="45" applyNumberFormat="1" applyFont="1" applyFill="1" applyBorder="1" applyAlignment="1">
      <alignment horizontal="left" vertical="top" wrapText="1"/>
    </xf>
    <xf numFmtId="0" fontId="27" fillId="27" borderId="16" xfId="45" applyFont="1" applyFill="1" applyBorder="1" applyAlignment="1">
      <alignment horizontal="center" vertical="center"/>
    </xf>
    <xf numFmtId="0" fontId="27" fillId="27" borderId="16" xfId="45" applyFont="1" applyFill="1" applyBorder="1" applyAlignment="1">
      <alignment horizontal="left" vertical="top"/>
    </xf>
    <xf numFmtId="1" fontId="26" fillId="27" borderId="16" xfId="45" applyNumberFormat="1" applyFont="1" applyFill="1" applyBorder="1" applyAlignment="1">
      <alignment horizontal="center" vertical="top"/>
    </xf>
    <xf numFmtId="2" fontId="32" fillId="31" borderId="16" xfId="0" applyNumberFormat="1" applyFont="1" applyFill="1" applyBorder="1" applyAlignment="1">
      <alignment vertical="top"/>
    </xf>
    <xf numFmtId="2" fontId="32" fillId="31" borderId="16" xfId="45" applyNumberFormat="1" applyFont="1" applyFill="1" applyBorder="1" applyAlignment="1">
      <alignment horizontal="center" vertical="top"/>
    </xf>
    <xf numFmtId="2" fontId="30" fillId="31" borderId="16" xfId="45" applyNumberFormat="1" applyFont="1" applyFill="1" applyBorder="1" applyAlignment="1">
      <alignment horizontal="center" vertical="top"/>
    </xf>
    <xf numFmtId="44" fontId="30" fillId="31" borderId="16" xfId="55" applyFont="1" applyFill="1" applyBorder="1" applyAlignment="1">
      <alignment horizontal="center" vertical="top"/>
    </xf>
    <xf numFmtId="2" fontId="32" fillId="31" borderId="28" xfId="45" applyNumberFormat="1" applyFont="1" applyFill="1" applyBorder="1" applyAlignment="1">
      <alignment horizontal="center" vertical="top"/>
    </xf>
    <xf numFmtId="0" fontId="28" fillId="31" borderId="25" xfId="45" applyFont="1" applyFill="1" applyBorder="1" applyAlignment="1" applyProtection="1">
      <alignment horizontal="center" vertical="top" wrapText="1"/>
    </xf>
    <xf numFmtId="1" fontId="28" fillId="31" borderId="16" xfId="45" applyNumberFormat="1" applyFont="1" applyFill="1" applyBorder="1" applyAlignment="1" applyProtection="1">
      <alignment horizontal="center" vertical="top" wrapText="1"/>
    </xf>
    <xf numFmtId="0" fontId="28" fillId="31" borderId="16" xfId="45" applyFont="1" applyFill="1" applyBorder="1" applyAlignment="1" applyProtection="1">
      <alignment horizontal="center" vertical="top" wrapText="1"/>
    </xf>
    <xf numFmtId="165" fontId="28" fillId="31" borderId="28" xfId="45" applyNumberFormat="1" applyFont="1" applyFill="1" applyBorder="1" applyAlignment="1" applyProtection="1">
      <alignment horizontal="center" vertical="top" wrapText="1"/>
    </xf>
    <xf numFmtId="2" fontId="34" fillId="0" borderId="40" xfId="45" applyNumberFormat="1" applyFont="1" applyFill="1" applyBorder="1" applyAlignment="1">
      <alignment horizontal="left" vertical="top" wrapText="1"/>
    </xf>
    <xf numFmtId="1" fontId="26" fillId="0" borderId="40" xfId="45" applyNumberFormat="1" applyFont="1" applyFill="1" applyBorder="1" applyAlignment="1">
      <alignment horizontal="center" vertical="top"/>
    </xf>
    <xf numFmtId="2" fontId="27" fillId="25" borderId="25" xfId="45" applyNumberFormat="1" applyFont="1" applyFill="1" applyBorder="1" applyAlignment="1">
      <alignment horizontal="left" vertical="top" wrapText="1"/>
    </xf>
    <xf numFmtId="0" fontId="27" fillId="24" borderId="11" xfId="45" applyFont="1" applyFill="1" applyBorder="1" applyAlignment="1">
      <alignment vertical="top"/>
    </xf>
    <xf numFmtId="0" fontId="27" fillId="0" borderId="0" xfId="45" applyFont="1" applyFill="1" applyBorder="1" applyAlignment="1">
      <alignment vertical="top"/>
    </xf>
    <xf numFmtId="1" fontId="26" fillId="0" borderId="0" xfId="45" applyNumberFormat="1" applyFont="1" applyFill="1" applyBorder="1" applyAlignment="1">
      <alignment vertical="top"/>
    </xf>
    <xf numFmtId="2" fontId="26" fillId="24" borderId="27" xfId="45" applyNumberFormat="1" applyFont="1" applyFill="1" applyBorder="1" applyAlignment="1">
      <alignment horizontal="left" vertical="top" wrapText="1"/>
    </xf>
    <xf numFmtId="1" fontId="26" fillId="24" borderId="13" xfId="45" applyNumberFormat="1" applyFont="1" applyFill="1" applyBorder="1" applyAlignment="1">
      <alignment horizontal="center" vertical="top"/>
    </xf>
    <xf numFmtId="0" fontId="26" fillId="24" borderId="10" xfId="45" applyFont="1" applyFill="1" applyBorder="1" applyAlignment="1">
      <alignment horizontal="center" vertical="top"/>
    </xf>
    <xf numFmtId="166" fontId="26" fillId="24" borderId="15" xfId="45" applyNumberFormat="1" applyFont="1" applyFill="1" applyBorder="1" applyAlignment="1">
      <alignment horizontal="center" vertical="top"/>
    </xf>
    <xf numFmtId="169" fontId="26" fillId="24" borderId="0" xfId="45" applyNumberFormat="1" applyFont="1" applyFill="1" applyBorder="1" applyAlignment="1">
      <alignment vertical="top"/>
    </xf>
    <xf numFmtId="2" fontId="26" fillId="24" borderId="10" xfId="0" applyNumberFormat="1" applyFont="1" applyFill="1" applyBorder="1" applyAlignment="1">
      <alignment horizontal="left" vertical="top" wrapText="1"/>
    </xf>
    <xf numFmtId="2" fontId="26" fillId="0" borderId="40" xfId="0" applyNumberFormat="1" applyFont="1" applyBorder="1" applyAlignment="1">
      <alignment horizontal="left" vertical="top" wrapText="1"/>
    </xf>
    <xf numFmtId="2" fontId="26" fillId="0" borderId="10" xfId="0" applyNumberFormat="1" applyFont="1" applyBorder="1" applyAlignment="1">
      <alignment horizontal="left" vertical="top" wrapText="1"/>
    </xf>
    <xf numFmtId="0" fontId="41" fillId="24" borderId="15" xfId="45" applyFont="1" applyFill="1" applyBorder="1" applyAlignment="1" applyProtection="1">
      <alignment horizontal="center" vertical="top" wrapText="1"/>
    </xf>
    <xf numFmtId="2" fontId="27" fillId="0" borderId="40" xfId="0" applyNumberFormat="1" applyFont="1" applyBorder="1" applyAlignment="1">
      <alignment horizontal="left" vertical="top" wrapText="1"/>
    </xf>
    <xf numFmtId="2" fontId="26" fillId="0" borderId="41" xfId="0" applyNumberFormat="1" applyFont="1" applyBorder="1" applyAlignment="1">
      <alignment horizontal="left" vertical="top" wrapText="1"/>
    </xf>
    <xf numFmtId="1" fontId="26" fillId="0" borderId="42" xfId="45" applyNumberFormat="1" applyFont="1" applyFill="1" applyBorder="1" applyAlignment="1">
      <alignment horizontal="center" vertical="top"/>
    </xf>
    <xf numFmtId="2" fontId="27" fillId="0" borderId="31" xfId="0" applyNumberFormat="1" applyFont="1" applyBorder="1" applyAlignment="1">
      <alignment horizontal="left" vertical="top" wrapText="1"/>
    </xf>
    <xf numFmtId="2" fontId="27" fillId="0" borderId="19" xfId="0" applyNumberFormat="1" applyFont="1" applyBorder="1" applyAlignment="1">
      <alignment horizontal="left" vertical="top" wrapText="1"/>
    </xf>
    <xf numFmtId="2" fontId="26" fillId="24" borderId="41" xfId="45" applyNumberFormat="1" applyFont="1" applyFill="1" applyBorder="1" applyAlignment="1">
      <alignment horizontal="left" vertical="top" wrapText="1"/>
    </xf>
    <xf numFmtId="1" fontId="28" fillId="31" borderId="43" xfId="45" applyNumberFormat="1" applyFont="1" applyFill="1" applyBorder="1" applyAlignment="1">
      <alignment horizontal="left" vertical="top"/>
    </xf>
    <xf numFmtId="0" fontId="30" fillId="31" borderId="11" xfId="45" applyFont="1" applyFill="1" applyBorder="1" applyAlignment="1">
      <alignment horizontal="center" vertical="top"/>
    </xf>
    <xf numFmtId="2" fontId="30" fillId="31" borderId="11" xfId="45" applyNumberFormat="1" applyFont="1" applyFill="1" applyBorder="1" applyAlignment="1">
      <alignment horizontal="left" vertical="top" wrapText="1"/>
    </xf>
    <xf numFmtId="1" fontId="30" fillId="31" borderId="11" xfId="45" applyNumberFormat="1" applyFont="1" applyFill="1" applyBorder="1" applyAlignment="1">
      <alignment horizontal="center" vertical="top"/>
    </xf>
    <xf numFmtId="166" fontId="28" fillId="31" borderId="44" xfId="45" applyNumberFormat="1" applyFont="1" applyFill="1" applyBorder="1" applyAlignment="1">
      <alignment horizontal="left" vertical="top"/>
    </xf>
    <xf numFmtId="166" fontId="28" fillId="31" borderId="35" xfId="45" applyNumberFormat="1" applyFont="1" applyFill="1" applyBorder="1" applyAlignment="1">
      <alignment horizontal="left" vertical="top"/>
    </xf>
    <xf numFmtId="0" fontId="35" fillId="0" borderId="38" xfId="45" applyFont="1" applyBorder="1" applyAlignment="1">
      <alignment horizontal="left" vertical="top"/>
    </xf>
    <xf numFmtId="0" fontId="26" fillId="0" borderId="11" xfId="45" applyFont="1" applyBorder="1" applyAlignment="1">
      <alignment horizontal="center" vertical="top"/>
    </xf>
    <xf numFmtId="2" fontId="26" fillId="0" borderId="11" xfId="45" applyNumberFormat="1" applyFont="1" applyBorder="1" applyAlignment="1">
      <alignment horizontal="left" vertical="top" wrapText="1"/>
    </xf>
    <xf numFmtId="1" fontId="26" fillId="0" borderId="11" xfId="45" applyNumberFormat="1" applyFont="1" applyBorder="1" applyAlignment="1">
      <alignment horizontal="center" vertical="top" wrapText="1"/>
    </xf>
    <xf numFmtId="165" fontId="26" fillId="0" borderId="11" xfId="45" applyNumberFormat="1" applyFont="1" applyBorder="1" applyAlignment="1">
      <alignment vertical="top"/>
    </xf>
    <xf numFmtId="1" fontId="36" fillId="32" borderId="43" xfId="45" applyNumberFormat="1" applyFont="1" applyFill="1" applyBorder="1" applyAlignment="1">
      <alignment horizontal="left" vertical="top"/>
    </xf>
    <xf numFmtId="1" fontId="36" fillId="32" borderId="0" xfId="45" applyNumberFormat="1" applyFont="1" applyFill="1" applyBorder="1" applyAlignment="1">
      <alignment horizontal="left" vertical="top"/>
    </xf>
    <xf numFmtId="0" fontId="31" fillId="32" borderId="0" xfId="45" applyFont="1" applyFill="1" applyBorder="1" applyAlignment="1">
      <alignment horizontal="left" vertical="top" wrapText="1"/>
    </xf>
    <xf numFmtId="1" fontId="31" fillId="32" borderId="0" xfId="45" applyNumberFormat="1" applyFont="1" applyFill="1" applyBorder="1" applyAlignment="1">
      <alignment horizontal="center" vertical="top"/>
    </xf>
    <xf numFmtId="0" fontId="31" fillId="32" borderId="0" xfId="45" applyFont="1" applyFill="1" applyBorder="1" applyAlignment="1">
      <alignment horizontal="center" vertical="top"/>
    </xf>
    <xf numFmtId="166" fontId="36" fillId="32" borderId="35" xfId="45" applyNumberFormat="1" applyFont="1" applyFill="1" applyBorder="1" applyAlignment="1">
      <alignment horizontal="left" vertical="top"/>
    </xf>
    <xf numFmtId="2" fontId="42" fillId="31" borderId="0" xfId="45" applyNumberFormat="1" applyFont="1" applyFill="1" applyBorder="1" applyAlignment="1">
      <alignment horizontal="left" vertical="top"/>
    </xf>
    <xf numFmtId="0" fontId="42" fillId="31" borderId="0" xfId="45" applyFont="1" applyFill="1" applyBorder="1" applyAlignment="1">
      <alignment vertical="top"/>
    </xf>
    <xf numFmtId="44" fontId="26" fillId="27" borderId="16" xfId="55" applyNumberFormat="1" applyFont="1" applyFill="1" applyBorder="1" applyAlignment="1">
      <alignment horizontal="center" vertical="top"/>
    </xf>
    <xf numFmtId="44" fontId="26" fillId="24" borderId="10" xfId="55" applyNumberFormat="1" applyFont="1" applyFill="1" applyBorder="1" applyAlignment="1" applyProtection="1">
      <alignment horizontal="center" vertical="top"/>
    </xf>
    <xf numFmtId="44" fontId="26" fillId="0" borderId="10" xfId="55" applyNumberFormat="1" applyFont="1" applyFill="1" applyBorder="1" applyAlignment="1">
      <alignment horizontal="center" vertical="top"/>
    </xf>
    <xf numFmtId="44" fontId="30" fillId="31" borderId="11" xfId="55" applyFont="1" applyFill="1" applyBorder="1" applyAlignment="1">
      <alignment horizontal="center" vertical="top"/>
    </xf>
    <xf numFmtId="44" fontId="26" fillId="0" borderId="11" xfId="55" applyFont="1" applyBorder="1" applyAlignment="1">
      <alignment horizontal="center" vertical="top"/>
    </xf>
    <xf numFmtId="10" fontId="36" fillId="30" borderId="0" xfId="59" applyNumberFormat="1" applyFont="1" applyFill="1" applyBorder="1" applyAlignment="1">
      <alignment horizontal="center" vertical="top"/>
    </xf>
    <xf numFmtId="0" fontId="43" fillId="0" borderId="11" xfId="45" applyFont="1" applyBorder="1"/>
    <xf numFmtId="2" fontId="44" fillId="24" borderId="11" xfId="45" applyNumberFormat="1" applyFont="1" applyFill="1" applyBorder="1" applyAlignment="1">
      <alignment horizontal="left" vertical="top"/>
    </xf>
    <xf numFmtId="2" fontId="45" fillId="24" borderId="11" xfId="45" applyNumberFormat="1" applyFont="1" applyFill="1" applyBorder="1" applyAlignment="1">
      <alignment vertical="top"/>
    </xf>
    <xf numFmtId="0" fontId="43" fillId="0" borderId="0" xfId="45" applyFont="1" applyBorder="1"/>
    <xf numFmtId="2" fontId="44" fillId="24" borderId="0" xfId="45" applyNumberFormat="1" applyFont="1" applyFill="1" applyBorder="1" applyAlignment="1">
      <alignment horizontal="left" vertical="top"/>
    </xf>
    <xf numFmtId="2" fontId="45" fillId="24" borderId="0" xfId="45" applyNumberFormat="1" applyFont="1" applyFill="1" applyBorder="1" applyAlignment="1">
      <alignment vertical="top"/>
    </xf>
    <xf numFmtId="0" fontId="44" fillId="24" borderId="0" xfId="45" applyFont="1" applyFill="1" applyBorder="1" applyAlignment="1">
      <alignment horizontal="left" vertical="top"/>
    </xf>
    <xf numFmtId="14" fontId="46" fillId="31" borderId="0" xfId="45" applyNumberFormat="1" applyFont="1" applyFill="1" applyBorder="1" applyAlignment="1">
      <alignment vertical="top"/>
    </xf>
    <xf numFmtId="0" fontId="46" fillId="31" borderId="0" xfId="45" applyFont="1" applyFill="1" applyBorder="1" applyAlignment="1">
      <alignment horizontal="left"/>
    </xf>
    <xf numFmtId="2" fontId="42" fillId="24" borderId="0" xfId="45" applyNumberFormat="1" applyFont="1" applyFill="1" applyBorder="1" applyAlignment="1">
      <alignment horizontal="left" vertical="top"/>
    </xf>
    <xf numFmtId="0" fontId="42" fillId="24" borderId="0" xfId="45" applyFont="1" applyFill="1" applyBorder="1" applyAlignment="1">
      <alignment vertical="top"/>
    </xf>
    <xf numFmtId="14" fontId="46" fillId="24" borderId="0" xfId="45" applyNumberFormat="1" applyFont="1" applyFill="1" applyBorder="1" applyAlignment="1">
      <alignment vertical="top"/>
    </xf>
    <xf numFmtId="0" fontId="42" fillId="31" borderId="19" xfId="45" applyFont="1" applyFill="1" applyBorder="1" applyAlignment="1">
      <alignment vertical="top"/>
    </xf>
    <xf numFmtId="49" fontId="43" fillId="0" borderId="38" xfId="45" applyNumberFormat="1" applyFont="1" applyBorder="1" applyAlignment="1">
      <alignment horizontal="center" vertical="top" wrapText="1"/>
    </xf>
    <xf numFmtId="2" fontId="43" fillId="0" borderId="11" xfId="45" applyNumberFormat="1" applyFont="1" applyFill="1" applyBorder="1" applyAlignment="1">
      <alignment horizontal="left" vertical="top" wrapText="1"/>
    </xf>
    <xf numFmtId="167" fontId="44" fillId="28" borderId="35" xfId="45" applyNumberFormat="1" applyFont="1" applyFill="1" applyBorder="1" applyAlignment="1" applyProtection="1">
      <alignment horizontal="left" vertical="top"/>
    </xf>
    <xf numFmtId="49" fontId="43" fillId="0" borderId="12" xfId="45" applyNumberFormat="1" applyFont="1" applyBorder="1" applyAlignment="1">
      <alignment horizontal="center" vertical="top" wrapText="1"/>
    </xf>
    <xf numFmtId="2" fontId="43" fillId="0" borderId="0" xfId="45" applyNumberFormat="1" applyFont="1" applyFill="1" applyBorder="1" applyAlignment="1">
      <alignment horizontal="left" vertical="top" wrapText="1"/>
    </xf>
    <xf numFmtId="167" fontId="44" fillId="28" borderId="20" xfId="45" applyNumberFormat="1" applyFont="1" applyFill="1" applyBorder="1" applyAlignment="1" applyProtection="1">
      <alignment horizontal="left" vertical="top"/>
    </xf>
    <xf numFmtId="0" fontId="42" fillId="31" borderId="36" xfId="45" applyFont="1" applyFill="1" applyBorder="1" applyAlignment="1">
      <alignment vertical="top"/>
    </xf>
    <xf numFmtId="0" fontId="42" fillId="31" borderId="34" xfId="45" applyFont="1" applyFill="1" applyBorder="1" applyAlignment="1">
      <alignment vertical="top" wrapText="1"/>
    </xf>
    <xf numFmtId="165" fontId="42" fillId="31" borderId="21" xfId="45" applyNumberFormat="1" applyFont="1" applyFill="1" applyBorder="1" applyAlignment="1">
      <alignment vertical="top"/>
    </xf>
    <xf numFmtId="0" fontId="47" fillId="0" borderId="0" xfId="45" applyFont="1" applyBorder="1" applyAlignment="1">
      <alignment horizontal="left" vertical="top"/>
    </xf>
    <xf numFmtId="0" fontId="42" fillId="31" borderId="39" xfId="45" applyFont="1" applyFill="1" applyBorder="1" applyAlignment="1">
      <alignment vertical="top"/>
    </xf>
    <xf numFmtId="0" fontId="44" fillId="0" borderId="11" xfId="45" applyFont="1" applyBorder="1" applyAlignment="1">
      <alignment vertical="top" wrapText="1"/>
    </xf>
    <xf numFmtId="167" fontId="44" fillId="24" borderId="35" xfId="45" applyNumberFormat="1" applyFont="1" applyFill="1" applyBorder="1" applyAlignment="1" applyProtection="1">
      <alignment horizontal="left" vertical="top"/>
    </xf>
    <xf numFmtId="0" fontId="44" fillId="0" borderId="0" xfId="45" applyFont="1" applyBorder="1" applyAlignment="1">
      <alignment vertical="top" wrapText="1"/>
    </xf>
    <xf numFmtId="167" fontId="44" fillId="24" borderId="20" xfId="45" applyNumberFormat="1" applyFont="1" applyFill="1" applyBorder="1" applyAlignment="1" applyProtection="1">
      <alignment horizontal="left" vertical="top"/>
    </xf>
    <xf numFmtId="0" fontId="42" fillId="31" borderId="38" xfId="45" applyFont="1" applyFill="1" applyBorder="1" applyAlignment="1">
      <alignment vertical="top"/>
    </xf>
    <xf numFmtId="0" fontId="42" fillId="31" borderId="11" xfId="45" applyFont="1" applyFill="1" applyBorder="1" applyAlignment="1">
      <alignment vertical="top" wrapText="1"/>
    </xf>
    <xf numFmtId="165" fontId="42" fillId="31" borderId="35" xfId="45" applyNumberFormat="1" applyFont="1" applyFill="1" applyBorder="1" applyAlignment="1">
      <alignment vertical="top"/>
    </xf>
    <xf numFmtId="165" fontId="42" fillId="31" borderId="20" xfId="45" applyNumberFormat="1" applyFont="1" applyFill="1" applyBorder="1" applyAlignment="1">
      <alignment vertical="top"/>
    </xf>
    <xf numFmtId="0" fontId="48" fillId="0" borderId="34" xfId="45" applyFont="1" applyBorder="1" applyAlignment="1"/>
    <xf numFmtId="0" fontId="43" fillId="0" borderId="34" xfId="45" applyFont="1" applyBorder="1"/>
    <xf numFmtId="0" fontId="49" fillId="0" borderId="34" xfId="45" applyFont="1" applyBorder="1"/>
    <xf numFmtId="0" fontId="43" fillId="0" borderId="0" xfId="45" applyFont="1"/>
    <xf numFmtId="10" fontId="44" fillId="30" borderId="0" xfId="59" applyNumberFormat="1" applyFont="1" applyFill="1" applyBorder="1" applyAlignment="1">
      <alignment horizontal="right" vertical="top" wrapText="1"/>
    </xf>
    <xf numFmtId="0" fontId="44" fillId="30" borderId="12" xfId="45" applyFont="1" applyFill="1" applyBorder="1" applyAlignment="1">
      <alignment vertical="top"/>
    </xf>
    <xf numFmtId="164" fontId="26" fillId="0" borderId="0" xfId="45" applyNumberFormat="1" applyFont="1" applyFill="1" applyBorder="1" applyAlignment="1">
      <alignment vertical="top"/>
    </xf>
    <xf numFmtId="1" fontId="26" fillId="24" borderId="10" xfId="0" applyNumberFormat="1" applyFont="1" applyFill="1" applyBorder="1" applyAlignment="1">
      <alignment horizontal="center" vertical="top"/>
    </xf>
    <xf numFmtId="0" fontId="26" fillId="24" borderId="10" xfId="0" applyFont="1" applyFill="1" applyBorder="1" applyAlignment="1">
      <alignment horizontal="center" vertical="top" wrapText="1"/>
    </xf>
    <xf numFmtId="1" fontId="26" fillId="24" borderId="13" xfId="0" applyNumberFormat="1" applyFont="1" applyFill="1" applyBorder="1" applyAlignment="1">
      <alignment horizontal="center" vertical="top"/>
    </xf>
    <xf numFmtId="1" fontId="26" fillId="24" borderId="37" xfId="0" applyNumberFormat="1" applyFont="1" applyFill="1" applyBorder="1" applyAlignment="1">
      <alignment horizontal="center" vertical="top"/>
    </xf>
    <xf numFmtId="0" fontId="26" fillId="24" borderId="22" xfId="45" applyFont="1" applyFill="1" applyBorder="1" applyAlignment="1" applyProtection="1">
      <alignment horizontal="center" vertical="top"/>
    </xf>
    <xf numFmtId="44" fontId="26" fillId="24" borderId="0" xfId="45" applyNumberFormat="1" applyFont="1" applyFill="1" applyBorder="1" applyAlignment="1">
      <alignment vertical="top"/>
    </xf>
    <xf numFmtId="2" fontId="27" fillId="24" borderId="27" xfId="45" applyNumberFormat="1" applyFont="1" applyFill="1" applyBorder="1" applyAlignment="1">
      <alignment horizontal="left" vertical="top" wrapText="1"/>
    </xf>
    <xf numFmtId="0" fontId="38" fillId="24" borderId="15" xfId="45" applyFont="1" applyFill="1" applyBorder="1" applyAlignment="1" applyProtection="1">
      <alignment horizontal="center" vertical="top" wrapText="1"/>
    </xf>
    <xf numFmtId="2" fontId="26" fillId="24" borderId="26" xfId="45" applyNumberFormat="1" applyFont="1" applyFill="1" applyBorder="1" applyAlignment="1">
      <alignment horizontal="left" vertical="top" wrapText="1"/>
    </xf>
    <xf numFmtId="0" fontId="35" fillId="0" borderId="36" xfId="45" applyFont="1" applyBorder="1" applyAlignment="1">
      <alignment horizontal="left" vertical="top"/>
    </xf>
    <xf numFmtId="2" fontId="42" fillId="31" borderId="25" xfId="0" applyNumberFormat="1" applyFont="1" applyFill="1" applyBorder="1" applyAlignment="1">
      <alignment horizontal="left" vertical="top"/>
    </xf>
    <xf numFmtId="2" fontId="42" fillId="31" borderId="16" xfId="0" applyNumberFormat="1" applyFont="1" applyFill="1" applyBorder="1" applyAlignment="1">
      <alignment horizontal="left" vertical="top"/>
    </xf>
    <xf numFmtId="2" fontId="42" fillId="31" borderId="16" xfId="0" applyNumberFormat="1" applyFont="1" applyFill="1" applyBorder="1" applyAlignment="1">
      <alignment vertical="top"/>
    </xf>
    <xf numFmtId="2" fontId="44" fillId="24" borderId="12" xfId="0" applyNumberFormat="1" applyFont="1" applyFill="1" applyBorder="1" applyAlignment="1">
      <alignment horizontal="left" vertical="top"/>
    </xf>
    <xf numFmtId="0" fontId="43" fillId="24" borderId="20" xfId="0" applyFont="1" applyFill="1" applyBorder="1" applyAlignment="1">
      <alignment horizontal="center" vertical="top"/>
    </xf>
    <xf numFmtId="0" fontId="44" fillId="24" borderId="0" xfId="0" applyFont="1" applyFill="1" applyBorder="1" applyAlignment="1">
      <alignment horizontal="left" vertical="top"/>
    </xf>
    <xf numFmtId="0" fontId="43" fillId="24" borderId="12" xfId="0" applyFont="1" applyFill="1" applyBorder="1" applyAlignment="1">
      <alignment horizontal="left" vertical="top"/>
    </xf>
    <xf numFmtId="14" fontId="43" fillId="24" borderId="0" xfId="0" applyNumberFormat="1" applyFont="1" applyFill="1" applyBorder="1" applyAlignment="1">
      <alignment horizontal="left" vertical="top"/>
    </xf>
    <xf numFmtId="0" fontId="44" fillId="24" borderId="12" xfId="0" applyFont="1" applyFill="1" applyBorder="1" applyAlignment="1" applyProtection="1">
      <alignment horizontal="left" vertical="top"/>
    </xf>
    <xf numFmtId="0" fontId="43" fillId="24" borderId="20" xfId="0" applyFont="1" applyFill="1" applyBorder="1" applyAlignment="1" applyProtection="1">
      <alignment horizontal="center" vertical="top"/>
    </xf>
    <xf numFmtId="166" fontId="44" fillId="24" borderId="0" xfId="55" applyNumberFormat="1" applyFont="1" applyFill="1" applyBorder="1" applyAlignment="1" applyProtection="1">
      <alignment horizontal="left" vertical="top"/>
    </xf>
    <xf numFmtId="2" fontId="26" fillId="24" borderId="40" xfId="0" applyNumberFormat="1" applyFont="1" applyFill="1" applyBorder="1" applyAlignment="1">
      <alignment horizontal="left" vertical="top" wrapText="1"/>
    </xf>
    <xf numFmtId="0" fontId="50" fillId="24" borderId="15" xfId="45" applyFont="1" applyFill="1" applyBorder="1" applyAlignment="1" applyProtection="1">
      <alignment horizontal="center" vertical="top" wrapText="1"/>
    </xf>
    <xf numFmtId="0" fontId="51" fillId="24" borderId="15" xfId="45" applyFont="1" applyFill="1" applyBorder="1" applyAlignment="1" applyProtection="1">
      <alignment horizontal="center" vertical="top" wrapText="1"/>
    </xf>
    <xf numFmtId="0" fontId="51" fillId="24" borderId="10" xfId="45" applyFont="1" applyFill="1" applyBorder="1" applyAlignment="1" applyProtection="1">
      <alignment horizontal="center" vertical="top" wrapText="1"/>
    </xf>
    <xf numFmtId="2" fontId="47" fillId="24" borderId="0" xfId="45" applyNumberFormat="1" applyFont="1" applyFill="1" applyBorder="1" applyAlignment="1">
      <alignment vertical="top"/>
    </xf>
  </cellXfs>
  <cellStyles count="6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/>
    <cellStyle name="Comma 2 2" xfId="48"/>
    <cellStyle name="Currency 2" xfId="50"/>
    <cellStyle name="Currency 3" xfId="55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54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/>
    <cellStyle name="Normal 2 2" xfId="47"/>
    <cellStyle name="Normal 2 3" xfId="45"/>
    <cellStyle name="Normal 2 3 2" xfId="52"/>
    <cellStyle name="Normal 3" xfId="37"/>
    <cellStyle name="Normal 4" xfId="43"/>
    <cellStyle name="Normal 4 2" xfId="53"/>
    <cellStyle name="Normal 4 3" xfId="51"/>
    <cellStyle name="Normal 5" xfId="49"/>
    <cellStyle name="Normal 6" xfId="57"/>
    <cellStyle name="Normal 7" xfId="58"/>
    <cellStyle name="Note" xfId="38" builtinId="10" customBuiltin="1"/>
    <cellStyle name="Output" xfId="39" builtinId="21" customBuiltin="1"/>
    <cellStyle name="Percent" xfId="59" builtinId="5"/>
    <cellStyle name="Percent 2" xfId="56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50101"/>
      <color rgb="FFFF512C"/>
      <color rgb="FFF55D61"/>
      <color rgb="FFFED2DC"/>
      <color rgb="FFD5D5D5"/>
      <color rgb="FFB94517"/>
      <color rgb="FFFE9494"/>
      <color rgb="FFF3F3F3"/>
      <color rgb="FFCE2008"/>
      <color rgb="FFDE79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N32"/>
  <sheetViews>
    <sheetView showGridLines="0" tabSelected="1" view="pageBreakPreview" zoomScaleNormal="100" zoomScaleSheetLayoutView="100" workbookViewId="0">
      <selection activeCell="G15" sqref="G15"/>
    </sheetView>
  </sheetViews>
  <sheetFormatPr defaultRowHeight="15.75" x14ac:dyDescent="0.25"/>
  <cols>
    <col min="1" max="1" width="8.88671875" style="81"/>
    <col min="2" max="2" width="22.21875" style="200" customWidth="1"/>
    <col min="3" max="3" width="41.44140625" style="200" customWidth="1"/>
    <col min="4" max="4" width="19.33203125" style="200" customWidth="1"/>
    <col min="5" max="5" width="8.88671875" style="81"/>
    <col min="6" max="6" width="10.5546875" style="81" bestFit="1" customWidth="1"/>
    <col min="7" max="16384" width="8.88671875" style="81"/>
  </cols>
  <sheetData>
    <row r="1" spans="1:14" x14ac:dyDescent="0.25">
      <c r="A1" s="79"/>
      <c r="B1" s="165"/>
      <c r="C1" s="166"/>
      <c r="D1" s="167"/>
      <c r="E1" s="80"/>
      <c r="F1" s="90"/>
      <c r="G1" s="90"/>
      <c r="H1" s="90"/>
      <c r="I1" s="90"/>
      <c r="J1" s="90"/>
    </row>
    <row r="2" spans="1:14" x14ac:dyDescent="0.25">
      <c r="A2" s="82"/>
      <c r="B2" s="168"/>
      <c r="C2" s="169"/>
      <c r="D2" s="170"/>
      <c r="E2" s="71"/>
      <c r="F2" s="90"/>
      <c r="G2" s="90"/>
      <c r="H2" s="90"/>
      <c r="I2" s="90"/>
      <c r="J2" s="90"/>
    </row>
    <row r="3" spans="1:14" ht="18" customHeight="1" x14ac:dyDescent="0.25">
      <c r="A3" s="82"/>
      <c r="B3" s="168"/>
      <c r="C3" s="169"/>
      <c r="D3" s="170"/>
      <c r="E3" s="71"/>
      <c r="F3" s="90"/>
      <c r="G3" s="90"/>
      <c r="H3" s="90"/>
      <c r="I3" s="90"/>
      <c r="J3" s="90"/>
    </row>
    <row r="4" spans="1:14" ht="21" customHeight="1" x14ac:dyDescent="0.2">
      <c r="A4" s="83"/>
      <c r="B4" s="171"/>
      <c r="C4" s="67"/>
      <c r="D4" s="85" t="s">
        <v>188</v>
      </c>
      <c r="E4" s="71"/>
      <c r="F4" s="21"/>
      <c r="G4" s="23"/>
      <c r="H4" s="23"/>
      <c r="I4" s="84"/>
      <c r="J4" s="84"/>
      <c r="K4" s="84"/>
      <c r="L4" s="84"/>
    </row>
    <row r="5" spans="1:14" x14ac:dyDescent="0.2">
      <c r="A5" s="83"/>
      <c r="B5" s="157" t="s">
        <v>5</v>
      </c>
      <c r="C5" s="158" t="s">
        <v>206</v>
      </c>
      <c r="D5" s="172"/>
      <c r="E5" s="86"/>
      <c r="F5" s="84"/>
      <c r="G5" s="84"/>
      <c r="H5" s="84"/>
      <c r="I5" s="84"/>
      <c r="J5" s="87"/>
      <c r="K5" s="87"/>
      <c r="L5" s="87"/>
      <c r="M5" s="87"/>
      <c r="N5" s="87"/>
    </row>
    <row r="6" spans="1:14" x14ac:dyDescent="0.25">
      <c r="A6" s="88"/>
      <c r="B6" s="157" t="s">
        <v>6</v>
      </c>
      <c r="C6" s="158" t="s">
        <v>206</v>
      </c>
      <c r="D6" s="173"/>
      <c r="E6" s="89"/>
      <c r="F6" s="84"/>
      <c r="G6" s="84"/>
      <c r="H6" s="84"/>
      <c r="I6" s="84"/>
      <c r="J6" s="87"/>
      <c r="K6" s="87"/>
      <c r="L6" s="87"/>
      <c r="M6" s="87"/>
      <c r="N6" s="87"/>
    </row>
    <row r="7" spans="1:14" s="90" customFormat="1" ht="16.5" thickBot="1" x14ac:dyDescent="0.25">
      <c r="A7" s="83"/>
      <c r="B7" s="174"/>
      <c r="C7" s="175"/>
      <c r="D7" s="176"/>
      <c r="E7" s="86"/>
      <c r="F7" s="84"/>
      <c r="G7" s="84"/>
      <c r="H7" s="84"/>
      <c r="I7" s="84"/>
      <c r="J7" s="87"/>
      <c r="K7" s="87"/>
      <c r="L7" s="87"/>
      <c r="M7" s="87"/>
      <c r="N7" s="87"/>
    </row>
    <row r="8" spans="1:14" ht="16.5" thickBot="1" x14ac:dyDescent="0.25">
      <c r="A8" s="88"/>
      <c r="B8" s="177" t="s">
        <v>20</v>
      </c>
      <c r="C8" s="175"/>
      <c r="D8" s="176"/>
      <c r="E8" s="89"/>
      <c r="F8" s="84"/>
      <c r="G8" s="84"/>
      <c r="H8" s="84"/>
      <c r="I8" s="84"/>
      <c r="J8" s="87"/>
      <c r="K8" s="87"/>
      <c r="L8" s="87"/>
      <c r="M8" s="87"/>
      <c r="N8" s="87"/>
    </row>
    <row r="9" spans="1:14" x14ac:dyDescent="0.2">
      <c r="A9" s="88"/>
      <c r="B9" s="178"/>
      <c r="C9" s="179" t="s">
        <v>21</v>
      </c>
      <c r="D9" s="180">
        <v>0</v>
      </c>
      <c r="E9" s="86"/>
      <c r="F9" s="84"/>
      <c r="G9" s="84"/>
      <c r="H9" s="84"/>
      <c r="I9" s="84"/>
      <c r="J9" s="87"/>
      <c r="K9" s="87"/>
      <c r="L9" s="87"/>
      <c r="M9" s="87"/>
      <c r="N9" s="87"/>
    </row>
    <row r="10" spans="1:14" x14ac:dyDescent="0.2">
      <c r="A10" s="88"/>
      <c r="B10" s="181"/>
      <c r="C10" s="182" t="s">
        <v>22</v>
      </c>
      <c r="D10" s="183">
        <v>0</v>
      </c>
      <c r="E10" s="86"/>
      <c r="F10" s="84"/>
      <c r="G10" s="84"/>
      <c r="H10" s="84"/>
      <c r="I10" s="84"/>
      <c r="J10" s="87"/>
      <c r="K10" s="87"/>
      <c r="L10" s="87"/>
      <c r="M10" s="87"/>
      <c r="N10" s="87"/>
    </row>
    <row r="11" spans="1:14" x14ac:dyDescent="0.2">
      <c r="A11" s="88"/>
      <c r="B11" s="181"/>
      <c r="C11" s="182" t="s">
        <v>23</v>
      </c>
      <c r="D11" s="183">
        <v>0</v>
      </c>
      <c r="E11" s="86"/>
      <c r="F11" s="84"/>
      <c r="G11" s="84"/>
      <c r="H11" s="84"/>
      <c r="I11" s="84"/>
      <c r="J11" s="87"/>
      <c r="K11" s="87"/>
      <c r="L11" s="87"/>
      <c r="M11" s="87"/>
      <c r="N11" s="87"/>
    </row>
    <row r="12" spans="1:14" x14ac:dyDescent="0.2">
      <c r="A12" s="88"/>
      <c r="B12" s="181"/>
      <c r="C12" s="182" t="s">
        <v>24</v>
      </c>
      <c r="D12" s="183">
        <v>0</v>
      </c>
      <c r="E12" s="89"/>
      <c r="F12" s="87"/>
      <c r="G12" s="87"/>
      <c r="H12" s="87"/>
      <c r="I12" s="87"/>
      <c r="J12" s="87"/>
      <c r="K12" s="87"/>
      <c r="L12" s="87"/>
      <c r="M12" s="87"/>
      <c r="N12" s="87"/>
    </row>
    <row r="13" spans="1:14" ht="17.25" customHeight="1" thickBot="1" x14ac:dyDescent="0.25">
      <c r="A13" s="88"/>
      <c r="B13" s="184" t="s">
        <v>25</v>
      </c>
      <c r="C13" s="185"/>
      <c r="D13" s="186">
        <f>SUM(D9:D12)</f>
        <v>0</v>
      </c>
      <c r="E13" s="89"/>
      <c r="F13" s="84"/>
      <c r="G13" s="84"/>
      <c r="H13" s="84"/>
      <c r="I13" s="84"/>
      <c r="J13" s="87"/>
      <c r="K13" s="87"/>
      <c r="L13" s="87"/>
      <c r="M13" s="87"/>
      <c r="N13" s="87"/>
    </row>
    <row r="14" spans="1:14" ht="16.5" thickBot="1" x14ac:dyDescent="0.3">
      <c r="A14" s="82"/>
      <c r="B14" s="187"/>
      <c r="C14" s="168"/>
      <c r="D14" s="168"/>
      <c r="E14" s="91"/>
      <c r="F14" s="90"/>
      <c r="G14" s="90"/>
      <c r="H14" s="90"/>
      <c r="I14" s="90"/>
      <c r="J14" s="90"/>
    </row>
    <row r="15" spans="1:14" ht="16.5" thickBot="1" x14ac:dyDescent="0.3">
      <c r="A15" s="83"/>
      <c r="B15" s="188" t="s">
        <v>33</v>
      </c>
      <c r="C15" s="168"/>
      <c r="D15" s="168"/>
      <c r="E15" s="86"/>
      <c r="F15" s="84"/>
      <c r="G15" s="84"/>
      <c r="H15" s="84"/>
      <c r="I15" s="84"/>
      <c r="J15" s="87"/>
      <c r="K15" s="87"/>
      <c r="L15" s="87"/>
      <c r="M15" s="87"/>
      <c r="N15" s="87"/>
    </row>
    <row r="16" spans="1:14" x14ac:dyDescent="0.2">
      <c r="A16" s="88"/>
      <c r="B16" s="178"/>
      <c r="C16" s="189" t="s">
        <v>191</v>
      </c>
      <c r="D16" s="190">
        <f>'SITE ESTIMATE'!$J$15</f>
        <v>0</v>
      </c>
      <c r="E16" s="86"/>
      <c r="F16" s="84"/>
      <c r="G16" s="84"/>
      <c r="H16" s="84"/>
      <c r="I16" s="84"/>
      <c r="J16" s="87"/>
      <c r="K16" s="87"/>
      <c r="L16" s="87"/>
      <c r="M16" s="87"/>
      <c r="N16" s="87"/>
    </row>
    <row r="17" spans="1:14" x14ac:dyDescent="0.2">
      <c r="A17" s="88"/>
      <c r="B17" s="181"/>
      <c r="C17" s="191" t="s">
        <v>192</v>
      </c>
      <c r="D17" s="192">
        <f>'SITE ESTIMATE'!$J$26</f>
        <v>0</v>
      </c>
      <c r="E17" s="86"/>
      <c r="F17" s="84"/>
      <c r="G17" s="84"/>
      <c r="H17" s="84"/>
      <c r="I17" s="84"/>
      <c r="J17" s="87"/>
      <c r="K17" s="87"/>
      <c r="L17" s="87"/>
      <c r="M17" s="87"/>
      <c r="N17" s="87"/>
    </row>
    <row r="18" spans="1:14" x14ac:dyDescent="0.2">
      <c r="A18" s="88"/>
      <c r="B18" s="181"/>
      <c r="C18" s="191" t="s">
        <v>193</v>
      </c>
      <c r="D18" s="192">
        <f>'SITE ESTIMATE'!$J$45</f>
        <v>0</v>
      </c>
      <c r="E18" s="86"/>
      <c r="F18" s="84"/>
      <c r="G18" s="84"/>
      <c r="H18" s="84"/>
      <c r="I18" s="84"/>
      <c r="J18" s="87"/>
      <c r="K18" s="87"/>
      <c r="L18" s="87"/>
      <c r="M18" s="87"/>
      <c r="N18" s="87"/>
    </row>
    <row r="19" spans="1:14" x14ac:dyDescent="0.2">
      <c r="A19" s="88"/>
      <c r="B19" s="181"/>
      <c r="C19" s="191" t="s">
        <v>194</v>
      </c>
      <c r="D19" s="192">
        <f>'SITE ESTIMATE'!$J$53</f>
        <v>0</v>
      </c>
      <c r="E19" s="86"/>
      <c r="F19" s="84"/>
      <c r="G19" s="84"/>
      <c r="H19" s="84"/>
      <c r="I19" s="84"/>
      <c r="J19" s="87"/>
      <c r="K19" s="87"/>
      <c r="L19" s="87"/>
      <c r="M19" s="87"/>
      <c r="N19" s="87"/>
    </row>
    <row r="20" spans="1:14" x14ac:dyDescent="0.2">
      <c r="A20" s="88"/>
      <c r="B20" s="181"/>
      <c r="C20" s="191" t="s">
        <v>195</v>
      </c>
      <c r="D20" s="192">
        <f>'SITE ESTIMATE'!$J$58</f>
        <v>0</v>
      </c>
      <c r="E20" s="86"/>
      <c r="F20" s="84"/>
      <c r="G20" s="84"/>
      <c r="H20" s="84"/>
      <c r="I20" s="84"/>
      <c r="J20" s="87"/>
      <c r="K20" s="87"/>
      <c r="L20" s="87"/>
      <c r="M20" s="87"/>
      <c r="N20" s="87"/>
    </row>
    <row r="21" spans="1:14" x14ac:dyDescent="0.2">
      <c r="A21" s="88"/>
      <c r="B21" s="181"/>
      <c r="C21" s="191" t="s">
        <v>196</v>
      </c>
      <c r="D21" s="192">
        <f>'SITE ESTIMATE'!$J$64</f>
        <v>0</v>
      </c>
      <c r="E21" s="86"/>
      <c r="F21" s="84"/>
      <c r="G21" s="84"/>
      <c r="H21" s="84"/>
      <c r="I21" s="84"/>
      <c r="J21" s="87"/>
      <c r="K21" s="87"/>
      <c r="L21" s="87"/>
      <c r="M21" s="87"/>
      <c r="N21" s="87"/>
    </row>
    <row r="22" spans="1:14" x14ac:dyDescent="0.2">
      <c r="A22" s="88"/>
      <c r="B22" s="181"/>
      <c r="C22" s="191" t="s">
        <v>197</v>
      </c>
      <c r="D22" s="192">
        <f>'SITE ESTIMATE'!$J$73</f>
        <v>0</v>
      </c>
      <c r="E22" s="86"/>
      <c r="F22" s="84"/>
      <c r="G22" s="84"/>
      <c r="H22" s="84"/>
      <c r="I22" s="84"/>
      <c r="J22" s="87"/>
      <c r="K22" s="87"/>
      <c r="L22" s="87"/>
      <c r="M22" s="87"/>
      <c r="N22" s="87"/>
    </row>
    <row r="23" spans="1:14" x14ac:dyDescent="0.2">
      <c r="A23" s="88"/>
      <c r="B23" s="181"/>
      <c r="C23" s="191" t="s">
        <v>198</v>
      </c>
      <c r="D23" s="192">
        <f>'SITE ESTIMATE'!$J$87</f>
        <v>0</v>
      </c>
      <c r="E23" s="86"/>
      <c r="F23" s="84"/>
      <c r="G23" s="84"/>
      <c r="H23" s="84"/>
      <c r="I23" s="84"/>
      <c r="J23" s="87"/>
      <c r="K23" s="87"/>
      <c r="L23" s="87"/>
      <c r="M23" s="87"/>
      <c r="N23" s="87"/>
    </row>
    <row r="24" spans="1:14" x14ac:dyDescent="0.2">
      <c r="A24" s="88"/>
      <c r="B24" s="181"/>
      <c r="C24" s="191" t="s">
        <v>199</v>
      </c>
      <c r="D24" s="192">
        <f>'SITE ESTIMATE'!$J$104</f>
        <v>0</v>
      </c>
      <c r="E24" s="86"/>
      <c r="F24" s="84"/>
      <c r="G24" s="84"/>
      <c r="H24" s="84"/>
      <c r="I24" s="84"/>
      <c r="J24" s="87"/>
      <c r="K24" s="87"/>
      <c r="L24" s="87"/>
      <c r="M24" s="87"/>
      <c r="N24" s="87"/>
    </row>
    <row r="25" spans="1:14" x14ac:dyDescent="0.2">
      <c r="A25" s="88"/>
      <c r="B25" s="181"/>
      <c r="C25" s="191" t="s">
        <v>200</v>
      </c>
      <c r="D25" s="192">
        <f>'SITE ESTIMATE'!$J$177</f>
        <v>0</v>
      </c>
      <c r="E25" s="86"/>
      <c r="F25" s="84"/>
      <c r="G25" s="84"/>
      <c r="H25" s="84"/>
      <c r="I25" s="84"/>
      <c r="J25" s="87"/>
      <c r="K25" s="87"/>
      <c r="L25" s="87"/>
      <c r="M25" s="87"/>
      <c r="N25" s="87"/>
    </row>
    <row r="26" spans="1:14" x14ac:dyDescent="0.2">
      <c r="A26" s="88"/>
      <c r="B26" s="181"/>
      <c r="C26" s="191" t="s">
        <v>201</v>
      </c>
      <c r="D26" s="192">
        <f>'SITE ESTIMATE'!$J$205</f>
        <v>0</v>
      </c>
      <c r="E26" s="86"/>
      <c r="F26" s="84"/>
      <c r="G26" s="84"/>
      <c r="H26" s="84"/>
      <c r="I26" s="84"/>
      <c r="J26" s="87"/>
      <c r="K26" s="87"/>
      <c r="L26" s="87"/>
      <c r="M26" s="87"/>
      <c r="N26" s="87"/>
    </row>
    <row r="27" spans="1:14" ht="16.5" thickBot="1" x14ac:dyDescent="0.25">
      <c r="A27" s="88"/>
      <c r="B27" s="181"/>
      <c r="C27" s="191"/>
      <c r="D27" s="192"/>
      <c r="E27" s="86"/>
      <c r="F27" s="84"/>
      <c r="G27" s="84"/>
      <c r="H27" s="84"/>
      <c r="I27" s="84"/>
      <c r="J27" s="87"/>
      <c r="K27" s="87"/>
      <c r="L27" s="87"/>
      <c r="M27" s="87"/>
      <c r="N27" s="87"/>
    </row>
    <row r="28" spans="1:14" x14ac:dyDescent="0.2">
      <c r="A28" s="88"/>
      <c r="B28" s="193" t="s">
        <v>48</v>
      </c>
      <c r="C28" s="194"/>
      <c r="D28" s="195">
        <f>SUM(D16:D27)</f>
        <v>0</v>
      </c>
      <c r="E28" s="89"/>
      <c r="F28" s="84"/>
      <c r="G28" s="84"/>
      <c r="H28" s="84"/>
      <c r="I28" s="84"/>
      <c r="J28" s="87"/>
      <c r="K28" s="87"/>
      <c r="L28" s="87"/>
      <c r="M28" s="87"/>
      <c r="N28" s="87"/>
    </row>
    <row r="29" spans="1:14" x14ac:dyDescent="0.2">
      <c r="A29" s="88"/>
      <c r="B29" s="202" t="s">
        <v>49</v>
      </c>
      <c r="C29" s="201">
        <v>0.17499999999999999</v>
      </c>
      <c r="D29" s="196">
        <f>C29*D28</f>
        <v>0</v>
      </c>
      <c r="E29" s="89"/>
      <c r="F29" s="84"/>
      <c r="G29" s="84"/>
      <c r="H29" s="84"/>
      <c r="I29" s="84"/>
      <c r="J29" s="87"/>
      <c r="K29" s="87"/>
      <c r="L29" s="87"/>
      <c r="M29" s="87"/>
      <c r="N29" s="87"/>
    </row>
    <row r="30" spans="1:14" ht="16.5" thickBot="1" x14ac:dyDescent="0.25">
      <c r="A30" s="88"/>
      <c r="B30" s="184" t="s">
        <v>36</v>
      </c>
      <c r="C30" s="185"/>
      <c r="D30" s="186">
        <f>SUM(D28:D29)</f>
        <v>0</v>
      </c>
      <c r="E30" s="89"/>
      <c r="F30" s="84"/>
      <c r="G30" s="84"/>
      <c r="H30" s="84"/>
      <c r="I30" s="84"/>
      <c r="J30" s="87"/>
      <c r="K30" s="87"/>
      <c r="L30" s="87"/>
      <c r="M30" s="87"/>
      <c r="N30" s="87"/>
    </row>
    <row r="31" spans="1:14" x14ac:dyDescent="0.25">
      <c r="A31" s="82"/>
      <c r="B31" s="187" t="s">
        <v>37</v>
      </c>
      <c r="C31" s="168"/>
      <c r="D31" s="168"/>
      <c r="E31" s="91"/>
      <c r="F31" s="90"/>
      <c r="G31" s="90"/>
      <c r="H31" s="90"/>
      <c r="I31" s="90"/>
      <c r="J31" s="90"/>
    </row>
    <row r="32" spans="1:14" ht="16.5" thickBot="1" x14ac:dyDescent="0.3">
      <c r="A32" s="92"/>
      <c r="B32" s="197"/>
      <c r="C32" s="198"/>
      <c r="D32" s="199" t="s">
        <v>26</v>
      </c>
      <c r="E32" s="93"/>
    </row>
  </sheetData>
  <printOptions horizontalCentered="1" verticalCentered="1"/>
  <pageMargins left="1" right="1" top="1" bottom="1" header="0.5" footer="0.5"/>
  <pageSetup paperSize="9" scale="87" orientation="landscape" r:id="rId1"/>
  <headerFooter>
    <oddFooter xml:space="preserve">&amp;C&amp;P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33"/>
  <sheetViews>
    <sheetView showGridLines="0" view="pageBreakPreview" zoomScaleNormal="90" zoomScaleSheetLayoutView="100" workbookViewId="0">
      <pane ySplit="6" topLeftCell="A7" activePane="bottomLeft" state="frozen"/>
      <selection pane="bottomLeft" activeCell="E4" sqref="E4"/>
    </sheetView>
  </sheetViews>
  <sheetFormatPr defaultColWidth="9.6640625" defaultRowHeight="15.75" x14ac:dyDescent="0.2"/>
  <cols>
    <col min="1" max="1" width="5.6640625" style="57" customWidth="1"/>
    <col min="2" max="2" width="10.109375" style="52" customWidth="1"/>
    <col min="3" max="3" width="11.77734375" style="52" customWidth="1"/>
    <col min="4" max="4" width="6.88671875" style="52" customWidth="1"/>
    <col min="5" max="5" width="46.21875" style="53" bestFit="1" customWidth="1"/>
    <col min="6" max="6" width="8.44140625" style="54" customWidth="1"/>
    <col min="7" max="7" width="7.44140625" style="52" customWidth="1"/>
    <col min="8" max="8" width="9.33203125" style="55" customWidth="1"/>
    <col min="9" max="9" width="11.44140625" style="56" customWidth="1"/>
    <col min="10" max="10" width="11.6640625" style="22" customWidth="1"/>
    <col min="11" max="11" width="11.88671875" style="51" bestFit="1" customWidth="1"/>
    <col min="12" max="12" width="10.77734375" style="51" bestFit="1" customWidth="1"/>
    <col min="13" max="16384" width="9.6640625" style="51"/>
  </cols>
  <sheetData>
    <row r="1" spans="1:15" s="18" customFormat="1" ht="16.5" thickBot="1" x14ac:dyDescent="0.25">
      <c r="A1" s="214" t="s">
        <v>5</v>
      </c>
      <c r="B1" s="215"/>
      <c r="C1" s="216" t="s">
        <v>206</v>
      </c>
      <c r="D1" s="110"/>
      <c r="E1" s="111"/>
      <c r="F1" s="112"/>
      <c r="G1" s="112"/>
      <c r="H1" s="113"/>
      <c r="I1" s="112"/>
      <c r="J1" s="114"/>
      <c r="K1" s="8"/>
      <c r="L1" s="8"/>
      <c r="O1" s="8"/>
    </row>
    <row r="2" spans="1:15" s="8" customFormat="1" x14ac:dyDescent="0.2">
      <c r="A2" s="217" t="s">
        <v>6</v>
      </c>
      <c r="B2" s="218"/>
      <c r="C2" s="219" t="s">
        <v>206</v>
      </c>
      <c r="D2" s="17"/>
      <c r="E2" s="19"/>
      <c r="F2" s="122"/>
      <c r="G2" s="19"/>
      <c r="H2" s="19"/>
      <c r="I2" s="20"/>
      <c r="J2" s="68"/>
      <c r="K2" s="22"/>
    </row>
    <row r="3" spans="1:15" s="8" customFormat="1" x14ac:dyDescent="0.2">
      <c r="A3" s="220" t="s">
        <v>7</v>
      </c>
      <c r="B3" s="218"/>
      <c r="C3" s="221">
        <v>44597</v>
      </c>
      <c r="D3" s="1"/>
      <c r="E3" s="21"/>
      <c r="F3" s="22"/>
      <c r="G3" s="123"/>
      <c r="I3" s="23"/>
      <c r="J3" s="69"/>
      <c r="K3" s="22"/>
    </row>
    <row r="4" spans="1:15" s="8" customFormat="1" x14ac:dyDescent="0.2">
      <c r="A4" s="220" t="s">
        <v>8</v>
      </c>
      <c r="B4" s="218"/>
      <c r="C4" s="221">
        <v>44629</v>
      </c>
      <c r="D4" s="1"/>
      <c r="E4" s="229"/>
      <c r="F4" s="22"/>
      <c r="I4" s="23"/>
      <c r="J4" s="69"/>
      <c r="K4" s="22"/>
    </row>
    <row r="5" spans="1:15" s="8" customFormat="1" ht="16.5" thickBot="1" x14ac:dyDescent="0.25">
      <c r="A5" s="222" t="s">
        <v>33</v>
      </c>
      <c r="B5" s="223"/>
      <c r="C5" s="224">
        <f>I$210</f>
        <v>0</v>
      </c>
      <c r="D5" s="16"/>
      <c r="E5" s="229"/>
      <c r="F5" s="22"/>
      <c r="H5" s="23"/>
      <c r="I5" s="67"/>
      <c r="J5" s="70"/>
      <c r="K5" s="22"/>
    </row>
    <row r="6" spans="1:15" s="24" customFormat="1" ht="38.25" customHeight="1" thickBot="1" x14ac:dyDescent="0.25">
      <c r="A6" s="115" t="s">
        <v>9</v>
      </c>
      <c r="B6" s="116" t="s">
        <v>12</v>
      </c>
      <c r="C6" s="116" t="s">
        <v>13</v>
      </c>
      <c r="D6" s="116" t="s">
        <v>14</v>
      </c>
      <c r="E6" s="116" t="s">
        <v>1</v>
      </c>
      <c r="F6" s="116" t="s">
        <v>17</v>
      </c>
      <c r="G6" s="116" t="s">
        <v>0</v>
      </c>
      <c r="H6" s="116" t="s">
        <v>2</v>
      </c>
      <c r="I6" s="117" t="s">
        <v>4</v>
      </c>
      <c r="J6" s="118" t="s">
        <v>10</v>
      </c>
      <c r="L6" s="21"/>
      <c r="O6" s="8"/>
    </row>
    <row r="7" spans="1:15" s="27" customFormat="1" ht="16.5" thickBot="1" x14ac:dyDescent="0.25">
      <c r="A7" s="25" t="str">
        <f>IF(F7&lt;&gt;"",1+MAX($A$6:A6),"")</f>
        <v/>
      </c>
      <c r="B7" s="60"/>
      <c r="C7" s="61"/>
      <c r="D7" s="107" t="s">
        <v>34</v>
      </c>
      <c r="E7" s="108" t="s">
        <v>35</v>
      </c>
      <c r="F7" s="109"/>
      <c r="G7" s="37"/>
      <c r="H7" s="159"/>
      <c r="I7" s="62"/>
      <c r="J7" s="59"/>
    </row>
    <row r="8" spans="1:15" s="8" customFormat="1" ht="16.5" thickBot="1" x14ac:dyDescent="0.25">
      <c r="A8" s="25"/>
      <c r="B8" s="32"/>
      <c r="C8" s="39"/>
      <c r="D8" s="28"/>
      <c r="E8" s="96" t="s">
        <v>68</v>
      </c>
      <c r="F8" s="29"/>
      <c r="G8" s="30"/>
      <c r="H8" s="4"/>
      <c r="I8" s="31"/>
      <c r="J8" s="26"/>
    </row>
    <row r="9" spans="1:15" s="22" customFormat="1" x14ac:dyDescent="0.2">
      <c r="A9" s="208"/>
      <c r="B9" s="32"/>
      <c r="C9" s="33"/>
      <c r="D9" s="6"/>
      <c r="E9" s="210" t="s">
        <v>77</v>
      </c>
      <c r="F9" s="126"/>
      <c r="G9" s="127"/>
      <c r="H9" s="160"/>
      <c r="I9" s="128"/>
      <c r="J9" s="26"/>
      <c r="K9" s="209"/>
    </row>
    <row r="10" spans="1:15" s="8" customFormat="1" ht="47.25" x14ac:dyDescent="0.2">
      <c r="A10" s="25">
        <f>IF(F10&lt;&gt;"",1+MAX($A$6:A9),"")</f>
        <v>1</v>
      </c>
      <c r="B10" s="32" t="s">
        <v>110</v>
      </c>
      <c r="C10" s="33"/>
      <c r="D10" s="6"/>
      <c r="E10" s="34" t="s">
        <v>113</v>
      </c>
      <c r="F10" s="35">
        <f>312*1.25/27</f>
        <v>14.444444444444445</v>
      </c>
      <c r="G10" s="14" t="s">
        <v>15</v>
      </c>
      <c r="H10" s="58">
        <v>0</v>
      </c>
      <c r="I10" s="36">
        <f>H10*F10</f>
        <v>0</v>
      </c>
      <c r="J10" s="26"/>
      <c r="K10" s="63"/>
    </row>
    <row r="11" spans="1:15" s="8" customFormat="1" ht="31.5" x14ac:dyDescent="0.2">
      <c r="A11" s="25">
        <f>IF(F11&lt;&gt;"",1+MAX($A$6:A10),"")</f>
        <v>2</v>
      </c>
      <c r="B11" s="32" t="s">
        <v>110</v>
      </c>
      <c r="C11" s="33"/>
      <c r="D11" s="6"/>
      <c r="E11" s="34" t="s">
        <v>114</v>
      </c>
      <c r="F11" s="35">
        <v>164</v>
      </c>
      <c r="G11" s="14" t="s">
        <v>31</v>
      </c>
      <c r="H11" s="58">
        <v>0</v>
      </c>
      <c r="I11" s="36">
        <f t="shared" ref="I11" si="0">H11*F11</f>
        <v>0</v>
      </c>
      <c r="J11" s="26"/>
      <c r="K11" s="63"/>
      <c r="L11" s="203"/>
    </row>
    <row r="12" spans="1:15" s="8" customFormat="1" x14ac:dyDescent="0.2">
      <c r="A12" s="25">
        <f>IF(F12&lt;&gt;"",1+MAX($A$6:A11),"")</f>
        <v>3</v>
      </c>
      <c r="B12" s="32" t="s">
        <v>110</v>
      </c>
      <c r="C12" s="33"/>
      <c r="D12" s="6"/>
      <c r="E12" s="34" t="s">
        <v>63</v>
      </c>
      <c r="F12" s="35">
        <v>28.8</v>
      </c>
      <c r="G12" s="14" t="s">
        <v>32</v>
      </c>
      <c r="H12" s="58">
        <v>0</v>
      </c>
      <c r="I12" s="36">
        <f t="shared" ref="I12" si="1">H12*F12</f>
        <v>0</v>
      </c>
      <c r="J12" s="26"/>
      <c r="K12" s="63"/>
    </row>
    <row r="13" spans="1:15" s="8" customFormat="1" x14ac:dyDescent="0.2">
      <c r="A13" s="25">
        <f>IF(F13&lt;&gt;"",1+MAX($A$6:A12),"")</f>
        <v>4</v>
      </c>
      <c r="B13" s="32" t="s">
        <v>110</v>
      </c>
      <c r="C13" s="33"/>
      <c r="D13" s="6"/>
      <c r="E13" s="34" t="s">
        <v>115</v>
      </c>
      <c r="F13" s="35">
        <v>239.8</v>
      </c>
      <c r="G13" s="14" t="s">
        <v>32</v>
      </c>
      <c r="H13" s="58">
        <v>0</v>
      </c>
      <c r="I13" s="36">
        <f t="shared" ref="I13" si="2">H13*F13</f>
        <v>0</v>
      </c>
      <c r="J13" s="26"/>
      <c r="K13" s="63"/>
    </row>
    <row r="14" spans="1:15" s="8" customFormat="1" ht="16.5" thickBot="1" x14ac:dyDescent="0.25">
      <c r="A14" s="25" t="str">
        <f>IF(F14&lt;&gt;"",1+MAX($A$6:A13),"")</f>
        <v/>
      </c>
      <c r="B14" s="32"/>
      <c r="C14" s="33"/>
      <c r="D14" s="7"/>
      <c r="E14" s="95"/>
      <c r="F14" s="9"/>
      <c r="G14" s="10"/>
      <c r="H14" s="11"/>
      <c r="I14" s="40"/>
      <c r="J14" s="41"/>
    </row>
    <row r="15" spans="1:15" s="8" customFormat="1" ht="16.5" thickBot="1" x14ac:dyDescent="0.25">
      <c r="A15" s="25" t="str">
        <f>IF(F15&lt;&gt;"",1+MAX($A$6:A14),"")</f>
        <v/>
      </c>
      <c r="B15" s="6"/>
      <c r="C15" s="6"/>
      <c r="D15" s="12"/>
      <c r="E15" s="66" t="s">
        <v>72</v>
      </c>
      <c r="F15" s="13"/>
      <c r="G15" s="14"/>
      <c r="H15" s="15"/>
      <c r="I15" s="2"/>
      <c r="J15" s="5">
        <f>SUM(I8:I14)</f>
        <v>0</v>
      </c>
      <c r="K15" s="63"/>
    </row>
    <row r="16" spans="1:15" s="8" customFormat="1" ht="19.5" thickBot="1" x14ac:dyDescent="0.25">
      <c r="A16" s="25" t="str">
        <f>IF(F16&lt;&gt;"",1+MAX($A$6:A15),"")</f>
        <v/>
      </c>
      <c r="B16" s="6"/>
      <c r="C16" s="6"/>
      <c r="D16" s="12"/>
      <c r="E16" s="119"/>
      <c r="F16" s="120"/>
      <c r="G16" s="14"/>
      <c r="H16" s="15"/>
      <c r="I16" s="3"/>
      <c r="J16" s="43"/>
    </row>
    <row r="17" spans="1:11" s="8" customFormat="1" ht="16.5" thickBot="1" x14ac:dyDescent="0.25">
      <c r="A17" s="25" t="str">
        <f>IF(F17&lt;&gt;"",1+MAX($A$6:A16),"")</f>
        <v/>
      </c>
      <c r="B17" s="32"/>
      <c r="C17" s="39"/>
      <c r="D17" s="28"/>
      <c r="E17" s="121" t="s">
        <v>69</v>
      </c>
      <c r="F17" s="94"/>
      <c r="G17" s="30"/>
      <c r="H17" s="4"/>
      <c r="I17" s="31"/>
      <c r="J17" s="26"/>
    </row>
    <row r="18" spans="1:11" s="8" customFormat="1" x14ac:dyDescent="0.2">
      <c r="A18" s="25" t="str">
        <f>IF(F18&lt;&gt;"",1+MAX($A$6:A17),"")</f>
        <v/>
      </c>
      <c r="B18" s="32"/>
      <c r="C18" s="33"/>
      <c r="D18" s="6"/>
      <c r="E18" s="106" t="s">
        <v>119</v>
      </c>
      <c r="F18" s="35"/>
      <c r="G18" s="14"/>
      <c r="H18" s="161"/>
      <c r="I18" s="36"/>
      <c r="J18" s="26"/>
      <c r="K18" s="65"/>
    </row>
    <row r="19" spans="1:11" s="8" customFormat="1" ht="31.5" x14ac:dyDescent="0.2">
      <c r="A19" s="25">
        <f>IF(F19&lt;&gt;"",1+MAX($A$6:A18),"")</f>
        <v>5</v>
      </c>
      <c r="B19" s="32" t="s">
        <v>110</v>
      </c>
      <c r="C19" s="33" t="s">
        <v>142</v>
      </c>
      <c r="D19" s="78"/>
      <c r="E19" s="38" t="s">
        <v>116</v>
      </c>
      <c r="F19" s="35">
        <v>262</v>
      </c>
      <c r="G19" s="14" t="s">
        <v>32</v>
      </c>
      <c r="H19" s="58">
        <v>0</v>
      </c>
      <c r="I19" s="36">
        <f>H19*F19</f>
        <v>0</v>
      </c>
      <c r="J19" s="26"/>
    </row>
    <row r="20" spans="1:11" s="8" customFormat="1" x14ac:dyDescent="0.2">
      <c r="A20" s="25" t="str">
        <f>IF(F20&lt;&gt;"",1+MAX($A$6:A19),"")</f>
        <v/>
      </c>
      <c r="B20" s="32"/>
      <c r="C20" s="33"/>
      <c r="D20" s="6"/>
      <c r="E20" s="106" t="s">
        <v>118</v>
      </c>
      <c r="F20" s="35"/>
      <c r="G20" s="14"/>
      <c r="H20" s="161"/>
      <c r="I20" s="36"/>
      <c r="J20" s="26"/>
      <c r="K20" s="65"/>
    </row>
    <row r="21" spans="1:11" s="8" customFormat="1" ht="47.25" x14ac:dyDescent="0.2">
      <c r="A21" s="25">
        <f>IF(F21&lt;&gt;"",1+MAX($A$6:A20),"")</f>
        <v>6</v>
      </c>
      <c r="B21" s="32" t="s">
        <v>110</v>
      </c>
      <c r="C21" s="133"/>
      <c r="D21" s="78"/>
      <c r="E21" s="38" t="s">
        <v>117</v>
      </c>
      <c r="F21" s="35">
        <f>50*12</f>
        <v>600</v>
      </c>
      <c r="G21" s="14" t="s">
        <v>31</v>
      </c>
      <c r="H21" s="58">
        <v>0</v>
      </c>
      <c r="I21" s="36">
        <f>H21*F21</f>
        <v>0</v>
      </c>
      <c r="J21" s="26"/>
    </row>
    <row r="22" spans="1:11" s="8" customFormat="1" x14ac:dyDescent="0.2">
      <c r="A22" s="25" t="str">
        <f>IF(F22&lt;&gt;"",1+MAX($A$6:A21),"")</f>
        <v/>
      </c>
      <c r="B22" s="32"/>
      <c r="C22" s="33"/>
      <c r="D22" s="6"/>
      <c r="E22" s="106" t="s">
        <v>78</v>
      </c>
      <c r="F22" s="35"/>
      <c r="G22" s="14"/>
      <c r="H22" s="161"/>
      <c r="I22" s="36"/>
      <c r="J22" s="26"/>
      <c r="K22" s="65"/>
    </row>
    <row r="23" spans="1:11" s="8" customFormat="1" ht="31.5" x14ac:dyDescent="0.2">
      <c r="A23" s="25">
        <f>IF(F23&lt;&gt;"",1+MAX($A$6:A22),"")</f>
        <v>7</v>
      </c>
      <c r="B23" s="32" t="s">
        <v>110</v>
      </c>
      <c r="C23" s="33" t="s">
        <v>142</v>
      </c>
      <c r="D23" s="78"/>
      <c r="E23" s="38" t="s">
        <v>144</v>
      </c>
      <c r="F23" s="35">
        <v>1</v>
      </c>
      <c r="G23" s="14" t="s">
        <v>55</v>
      </c>
      <c r="H23" s="58">
        <v>0</v>
      </c>
      <c r="I23" s="36">
        <f>H23*F23</f>
        <v>0</v>
      </c>
      <c r="J23" s="26"/>
    </row>
    <row r="24" spans="1:11" s="8" customFormat="1" ht="31.5" x14ac:dyDescent="0.2">
      <c r="A24" s="25">
        <f>IF(F24&lt;&gt;"",1+MAX($A$6:A23),"")</f>
        <v>8</v>
      </c>
      <c r="B24" s="32" t="s">
        <v>110</v>
      </c>
      <c r="C24" s="33" t="s">
        <v>142</v>
      </c>
      <c r="D24" s="78"/>
      <c r="E24" s="38" t="s">
        <v>143</v>
      </c>
      <c r="F24" s="35">
        <v>1</v>
      </c>
      <c r="G24" s="14" t="s">
        <v>55</v>
      </c>
      <c r="H24" s="58">
        <v>0</v>
      </c>
      <c r="I24" s="36">
        <f>H24*F24</f>
        <v>0</v>
      </c>
      <c r="J24" s="26"/>
    </row>
    <row r="25" spans="1:11" s="8" customFormat="1" ht="16.5" thickBot="1" x14ac:dyDescent="0.25">
      <c r="A25" s="25" t="str">
        <f>IF(F25&lt;&gt;"",1+MAX($A$6:A24),"")</f>
        <v/>
      </c>
      <c r="B25" s="32"/>
      <c r="C25" s="33"/>
      <c r="D25" s="7"/>
      <c r="E25" s="95"/>
      <c r="F25" s="9"/>
      <c r="G25" s="10"/>
      <c r="H25" s="11"/>
      <c r="I25" s="40"/>
      <c r="J25" s="41"/>
    </row>
    <row r="26" spans="1:11" s="8" customFormat="1" ht="16.5" thickBot="1" x14ac:dyDescent="0.25">
      <c r="A26" s="25" t="str">
        <f>IF(F26&lt;&gt;"",1+MAX($A$6:A25),"")</f>
        <v/>
      </c>
      <c r="B26" s="6"/>
      <c r="C26" s="6"/>
      <c r="D26" s="12"/>
      <c r="E26" s="66" t="s">
        <v>73</v>
      </c>
      <c r="F26" s="13"/>
      <c r="G26" s="14"/>
      <c r="H26" s="15"/>
      <c r="I26" s="2"/>
      <c r="J26" s="5">
        <f>SUM(I17:I25)</f>
        <v>0</v>
      </c>
      <c r="K26" s="63"/>
    </row>
    <row r="27" spans="1:11" s="8" customFormat="1" ht="19.5" thickBot="1" x14ac:dyDescent="0.25">
      <c r="A27" s="25" t="str">
        <f>IF(F27&lt;&gt;"",1+MAX($A$6:A26),"")</f>
        <v/>
      </c>
      <c r="B27" s="6"/>
      <c r="C27" s="6"/>
      <c r="D27" s="12"/>
      <c r="E27" s="119"/>
      <c r="F27" s="120"/>
      <c r="G27" s="14"/>
      <c r="H27" s="15"/>
      <c r="I27" s="3"/>
      <c r="J27" s="43"/>
    </row>
    <row r="28" spans="1:11" s="8" customFormat="1" ht="16.5" thickBot="1" x14ac:dyDescent="0.25">
      <c r="A28" s="25" t="str">
        <f>IF(F28&lt;&gt;"",1+MAX($A$6:A27),"")</f>
        <v/>
      </c>
      <c r="B28" s="32"/>
      <c r="C28" s="39"/>
      <c r="D28" s="28"/>
      <c r="E28" s="121" t="s">
        <v>70</v>
      </c>
      <c r="F28" s="94"/>
      <c r="G28" s="30"/>
      <c r="H28" s="4"/>
      <c r="I28" s="31"/>
      <c r="J28" s="26"/>
    </row>
    <row r="29" spans="1:11" s="8" customFormat="1" x14ac:dyDescent="0.2">
      <c r="A29" s="25" t="str">
        <f>IF(F29&lt;&gt;"",1+MAX($A$6:A28),"")</f>
        <v/>
      </c>
      <c r="B29" s="32"/>
      <c r="C29" s="33"/>
      <c r="D29" s="6"/>
      <c r="E29" s="106" t="s">
        <v>120</v>
      </c>
      <c r="F29" s="35"/>
      <c r="G29" s="14"/>
      <c r="H29" s="161"/>
      <c r="I29" s="36"/>
      <c r="J29" s="26"/>
      <c r="K29" s="65"/>
    </row>
    <row r="30" spans="1:11" s="8" customFormat="1" ht="47.25" x14ac:dyDescent="0.2">
      <c r="A30" s="25">
        <f>IF(F30&lt;&gt;"",1+MAX($A$6:A29),"")</f>
        <v>9</v>
      </c>
      <c r="B30" s="32" t="s">
        <v>110</v>
      </c>
      <c r="C30" s="33" t="s">
        <v>111</v>
      </c>
      <c r="D30" s="78"/>
      <c r="E30" s="38" t="s">
        <v>124</v>
      </c>
      <c r="F30" s="35">
        <v>312</v>
      </c>
      <c r="G30" s="14" t="s">
        <v>31</v>
      </c>
      <c r="H30" s="58">
        <v>0</v>
      </c>
      <c r="I30" s="36">
        <f>H30*F30</f>
        <v>0</v>
      </c>
      <c r="J30" s="26"/>
    </row>
    <row r="31" spans="1:11" s="8" customFormat="1" x14ac:dyDescent="0.2">
      <c r="A31" s="25">
        <f>IF(F31&lt;&gt;"",1+MAX($A$6:A30),"")</f>
        <v>10</v>
      </c>
      <c r="B31" s="32" t="s">
        <v>110</v>
      </c>
      <c r="C31" s="33" t="s">
        <v>111</v>
      </c>
      <c r="D31" s="6"/>
      <c r="E31" s="34" t="s">
        <v>46</v>
      </c>
      <c r="F31" s="35">
        <f>312*1/27</f>
        <v>11.555555555555555</v>
      </c>
      <c r="G31" s="14" t="s">
        <v>15</v>
      </c>
      <c r="H31" s="58">
        <v>0</v>
      </c>
      <c r="I31" s="36">
        <f>H31*F31</f>
        <v>0</v>
      </c>
      <c r="J31" s="26"/>
      <c r="K31" s="63"/>
    </row>
    <row r="32" spans="1:11" s="8" customFormat="1" x14ac:dyDescent="0.2">
      <c r="A32" s="25" t="str">
        <f>IF(F32&lt;&gt;"",1+MAX($A$6:A31),"")</f>
        <v/>
      </c>
      <c r="B32" s="32"/>
      <c r="C32" s="33"/>
      <c r="D32" s="6"/>
      <c r="E32" s="106" t="s">
        <v>126</v>
      </c>
      <c r="F32" s="35"/>
      <c r="G32" s="14"/>
      <c r="H32" s="161"/>
      <c r="I32" s="36"/>
      <c r="J32" s="26"/>
      <c r="K32" s="65"/>
    </row>
    <row r="33" spans="1:12" s="8" customFormat="1" x14ac:dyDescent="0.2">
      <c r="A33" s="25">
        <f>IF(F33&lt;&gt;"",1+MAX($A$6:A32),"")</f>
        <v>11</v>
      </c>
      <c r="B33" s="32" t="s">
        <v>121</v>
      </c>
      <c r="C33" s="33" t="s">
        <v>125</v>
      </c>
      <c r="D33" s="78"/>
      <c r="E33" s="38" t="s">
        <v>127</v>
      </c>
      <c r="F33" s="35">
        <v>1007</v>
      </c>
      <c r="G33" s="14" t="s">
        <v>31</v>
      </c>
      <c r="H33" s="58">
        <v>0</v>
      </c>
      <c r="I33" s="36">
        <f>H33*F33</f>
        <v>0</v>
      </c>
      <c r="J33" s="26"/>
      <c r="L33" s="124"/>
    </row>
    <row r="34" spans="1:12" s="8" customFormat="1" x14ac:dyDescent="0.2">
      <c r="A34" s="25">
        <f>IF(F34&lt;&gt;"",1+MAX($A$6:A33),"")</f>
        <v>12</v>
      </c>
      <c r="B34" s="32" t="s">
        <v>121</v>
      </c>
      <c r="C34" s="33" t="s">
        <v>125</v>
      </c>
      <c r="D34" s="6"/>
      <c r="E34" s="34" t="s">
        <v>67</v>
      </c>
      <c r="F34" s="35">
        <f>1007*0.5/27</f>
        <v>18.648148148148149</v>
      </c>
      <c r="G34" s="14" t="s">
        <v>15</v>
      </c>
      <c r="H34" s="160">
        <f>H$31</f>
        <v>0</v>
      </c>
      <c r="I34" s="36">
        <f>H34*F34</f>
        <v>0</v>
      </c>
      <c r="J34" s="26"/>
      <c r="K34" s="63"/>
    </row>
    <row r="35" spans="1:12" s="8" customFormat="1" x14ac:dyDescent="0.2">
      <c r="A35" s="25" t="str">
        <f>IF(F35&lt;&gt;"",1+MAX($A$6:A34),"")</f>
        <v/>
      </c>
      <c r="B35" s="32"/>
      <c r="C35" s="33"/>
      <c r="D35" s="6"/>
      <c r="E35" s="106" t="s">
        <v>122</v>
      </c>
      <c r="F35" s="35"/>
      <c r="G35" s="14"/>
      <c r="H35" s="161"/>
      <c r="I35" s="36"/>
      <c r="J35" s="26"/>
      <c r="K35" s="65"/>
    </row>
    <row r="36" spans="1:12" s="8" customFormat="1" x14ac:dyDescent="0.2">
      <c r="A36" s="25">
        <f>IF(F36&lt;&gt;"",1+MAX($A$6:A35),"")</f>
        <v>13</v>
      </c>
      <c r="B36" s="32" t="s">
        <v>121</v>
      </c>
      <c r="C36" s="211" t="s">
        <v>64</v>
      </c>
      <c r="D36" s="78"/>
      <c r="E36" s="38" t="s">
        <v>205</v>
      </c>
      <c r="F36" s="35">
        <v>551</v>
      </c>
      <c r="G36" s="14" t="s">
        <v>31</v>
      </c>
      <c r="H36" s="58">
        <v>0</v>
      </c>
      <c r="I36" s="36">
        <f>H36*F36</f>
        <v>0</v>
      </c>
      <c r="J36" s="26"/>
      <c r="L36" s="124"/>
    </row>
    <row r="37" spans="1:12" s="8" customFormat="1" x14ac:dyDescent="0.2">
      <c r="A37" s="25">
        <f>IF(F37&lt;&gt;"",1+MAX($A$6:A36),"")</f>
        <v>14</v>
      </c>
      <c r="B37" s="32" t="s">
        <v>121</v>
      </c>
      <c r="C37" s="211" t="s">
        <v>64</v>
      </c>
      <c r="D37" s="6"/>
      <c r="E37" s="34" t="s">
        <v>67</v>
      </c>
      <c r="F37" s="35">
        <f>551*0.5/27</f>
        <v>10.203703703703704</v>
      </c>
      <c r="G37" s="14" t="s">
        <v>15</v>
      </c>
      <c r="H37" s="160">
        <f>H$31</f>
        <v>0</v>
      </c>
      <c r="I37" s="36">
        <f>H37*F37</f>
        <v>0</v>
      </c>
      <c r="J37" s="26"/>
      <c r="K37" s="63"/>
    </row>
    <row r="38" spans="1:12" s="8" customFormat="1" x14ac:dyDescent="0.2">
      <c r="A38" s="25" t="str">
        <f>IF(F38&lt;&gt;"",1+MAX($A$6:A37),"")</f>
        <v/>
      </c>
      <c r="B38" s="32"/>
      <c r="C38" s="33"/>
      <c r="D38" s="6"/>
      <c r="E38" s="106" t="s">
        <v>203</v>
      </c>
      <c r="F38" s="35"/>
      <c r="G38" s="14"/>
      <c r="H38" s="161"/>
      <c r="I38" s="36"/>
      <c r="J38" s="26"/>
      <c r="K38" s="65"/>
    </row>
    <row r="39" spans="1:12" s="8" customFormat="1" x14ac:dyDescent="0.2">
      <c r="A39" s="25">
        <f>IF(F39&lt;&gt;"",1+MAX($A$6:A38),"")</f>
        <v>15</v>
      </c>
      <c r="B39" s="32" t="s">
        <v>121</v>
      </c>
      <c r="C39" s="211"/>
      <c r="D39" s="78"/>
      <c r="E39" s="38" t="s">
        <v>204</v>
      </c>
      <c r="F39" s="35">
        <v>164</v>
      </c>
      <c r="G39" s="14" t="s">
        <v>31</v>
      </c>
      <c r="H39" s="160">
        <f>H$36</f>
        <v>0</v>
      </c>
      <c r="I39" s="36">
        <f>H39*F39</f>
        <v>0</v>
      </c>
      <c r="J39" s="26"/>
      <c r="L39" s="124"/>
    </row>
    <row r="40" spans="1:12" s="8" customFormat="1" x14ac:dyDescent="0.2">
      <c r="A40" s="25">
        <f>IF(F40&lt;&gt;"",1+MAX($A$6:A39),"")</f>
        <v>16</v>
      </c>
      <c r="B40" s="32" t="s">
        <v>121</v>
      </c>
      <c r="C40" s="211"/>
      <c r="D40" s="6"/>
      <c r="E40" s="34" t="s">
        <v>67</v>
      </c>
      <c r="F40" s="35">
        <f>164*0.5/27</f>
        <v>3.0370370370370372</v>
      </c>
      <c r="G40" s="14" t="s">
        <v>15</v>
      </c>
      <c r="H40" s="160">
        <f>H$31</f>
        <v>0</v>
      </c>
      <c r="I40" s="36">
        <f>H40*F40</f>
        <v>0</v>
      </c>
      <c r="J40" s="26"/>
      <c r="K40" s="63"/>
    </row>
    <row r="41" spans="1:12" s="8" customFormat="1" x14ac:dyDescent="0.2">
      <c r="A41" s="25" t="str">
        <f>IF(F41&lt;&gt;"",1+MAX($A$6:A40),"")</f>
        <v/>
      </c>
      <c r="B41" s="32"/>
      <c r="C41" s="33"/>
      <c r="D41" s="6"/>
      <c r="E41" s="106" t="s">
        <v>128</v>
      </c>
      <c r="F41" s="35"/>
      <c r="G41" s="14"/>
      <c r="H41" s="161"/>
      <c r="I41" s="36"/>
      <c r="J41" s="26"/>
      <c r="K41" s="65"/>
    </row>
    <row r="42" spans="1:12" s="8" customFormat="1" ht="31.5" x14ac:dyDescent="0.2">
      <c r="A42" s="25">
        <f>IF(F42&lt;&gt;"",1+MAX($A$6:A41),"")</f>
        <v>17</v>
      </c>
      <c r="B42" s="32" t="s">
        <v>121</v>
      </c>
      <c r="C42" s="211" t="s">
        <v>64</v>
      </c>
      <c r="D42" s="78"/>
      <c r="E42" s="38" t="s">
        <v>123</v>
      </c>
      <c r="F42" s="35">
        <v>48</v>
      </c>
      <c r="G42" s="14" t="s">
        <v>31</v>
      </c>
      <c r="H42" s="58">
        <v>0</v>
      </c>
      <c r="I42" s="36">
        <f>H42*F42</f>
        <v>0</v>
      </c>
      <c r="J42" s="26"/>
      <c r="L42" s="124"/>
    </row>
    <row r="43" spans="1:12" s="8" customFormat="1" x14ac:dyDescent="0.2">
      <c r="A43" s="25">
        <f>IF(F43&lt;&gt;"",1+MAX($A$6:A42),"")</f>
        <v>18</v>
      </c>
      <c r="B43" s="32" t="s">
        <v>121</v>
      </c>
      <c r="C43" s="211" t="s">
        <v>64</v>
      </c>
      <c r="D43" s="6"/>
      <c r="E43" s="34" t="s">
        <v>65</v>
      </c>
      <c r="F43" s="35">
        <f>48*0.334/27</f>
        <v>0.59377777777777774</v>
      </c>
      <c r="G43" s="14" t="s">
        <v>15</v>
      </c>
      <c r="H43" s="160">
        <f>H$31</f>
        <v>0</v>
      </c>
      <c r="I43" s="36">
        <f>H43*F43</f>
        <v>0</v>
      </c>
      <c r="J43" s="26"/>
      <c r="K43" s="63"/>
    </row>
    <row r="44" spans="1:12" s="8" customFormat="1" ht="16.5" thickBot="1" x14ac:dyDescent="0.25">
      <c r="A44" s="25" t="str">
        <f>IF(F44&lt;&gt;"",1+MAX($A$6:A43),"")</f>
        <v/>
      </c>
      <c r="B44" s="32"/>
      <c r="C44" s="33"/>
      <c r="D44" s="7"/>
      <c r="E44" s="95"/>
      <c r="F44" s="9"/>
      <c r="G44" s="10"/>
      <c r="H44" s="11"/>
      <c r="I44" s="40"/>
      <c r="J44" s="41"/>
    </row>
    <row r="45" spans="1:12" s="8" customFormat="1" ht="16.5" thickBot="1" x14ac:dyDescent="0.25">
      <c r="A45" s="25" t="str">
        <f>IF(F45&lt;&gt;"",1+MAX($A$6:A44),"")</f>
        <v/>
      </c>
      <c r="B45" s="6"/>
      <c r="C45" s="6"/>
      <c r="D45" s="12"/>
      <c r="E45" s="66" t="s">
        <v>74</v>
      </c>
      <c r="F45" s="13"/>
      <c r="G45" s="14"/>
      <c r="H45" s="15"/>
      <c r="I45" s="2"/>
      <c r="J45" s="5">
        <f>SUM(I28:I44)</f>
        <v>0</v>
      </c>
      <c r="K45" s="63"/>
    </row>
    <row r="46" spans="1:12" s="8" customFormat="1" ht="19.5" thickBot="1" x14ac:dyDescent="0.25">
      <c r="A46" s="25" t="str">
        <f>IF(F46&lt;&gt;"",1+MAX($A$6:A45),"")</f>
        <v/>
      </c>
      <c r="B46" s="6"/>
      <c r="C46" s="6"/>
      <c r="D46" s="12"/>
      <c r="E46" s="119"/>
      <c r="F46" s="120"/>
      <c r="G46" s="14"/>
      <c r="H46" s="15"/>
      <c r="I46" s="3"/>
      <c r="J46" s="43"/>
    </row>
    <row r="47" spans="1:12" s="8" customFormat="1" ht="16.5" thickBot="1" x14ac:dyDescent="0.25">
      <c r="A47" s="25" t="str">
        <f>IF(F47&lt;&gt;"",1+MAX($A$6:A46),"")</f>
        <v/>
      </c>
      <c r="B47" s="32"/>
      <c r="C47" s="39"/>
      <c r="D47" s="28"/>
      <c r="E47" s="121" t="s">
        <v>71</v>
      </c>
      <c r="F47" s="94"/>
      <c r="G47" s="30"/>
      <c r="H47" s="4"/>
      <c r="I47" s="31"/>
      <c r="J47" s="26"/>
    </row>
    <row r="48" spans="1:12" s="8" customFormat="1" x14ac:dyDescent="0.2">
      <c r="A48" s="25" t="str">
        <f>IF(F48&lt;&gt;"",1+MAX($A$6:A47),"")</f>
        <v/>
      </c>
      <c r="B48" s="32"/>
      <c r="C48" s="33"/>
      <c r="D48" s="6"/>
      <c r="E48" s="106" t="s">
        <v>129</v>
      </c>
      <c r="F48" s="35"/>
      <c r="G48" s="14"/>
      <c r="H48" s="161"/>
      <c r="I48" s="36"/>
      <c r="J48" s="26"/>
      <c r="K48" s="65"/>
    </row>
    <row r="49" spans="1:11" s="8" customFormat="1" x14ac:dyDescent="0.2">
      <c r="A49" s="25">
        <f>IF(F49&lt;&gt;"",1+MAX($A$6:A48),"")</f>
        <v>19</v>
      </c>
      <c r="B49" s="32" t="s">
        <v>110</v>
      </c>
      <c r="C49" s="33"/>
      <c r="D49" s="78"/>
      <c r="E49" s="38" t="s">
        <v>131</v>
      </c>
      <c r="F49" s="35">
        <v>120</v>
      </c>
      <c r="G49" s="14" t="s">
        <v>32</v>
      </c>
      <c r="H49" s="58">
        <v>0</v>
      </c>
      <c r="I49" s="36">
        <f>H49*F49</f>
        <v>0</v>
      </c>
      <c r="J49" s="26"/>
    </row>
    <row r="50" spans="1:11" s="8" customFormat="1" x14ac:dyDescent="0.2">
      <c r="A50" s="25">
        <f>IF(F50&lt;&gt;"",1+MAX($A$6:A49),"")</f>
        <v>20</v>
      </c>
      <c r="B50" s="32" t="s">
        <v>110</v>
      </c>
      <c r="C50" s="33"/>
      <c r="D50" s="78"/>
      <c r="E50" s="38" t="s">
        <v>202</v>
      </c>
      <c r="F50" s="35">
        <v>29</v>
      </c>
      <c r="G50" s="14" t="s">
        <v>32</v>
      </c>
      <c r="H50" s="160">
        <f>H$49</f>
        <v>0</v>
      </c>
      <c r="I50" s="36">
        <f>H50*F50</f>
        <v>0</v>
      </c>
      <c r="J50" s="26"/>
    </row>
    <row r="51" spans="1:11" s="8" customFormat="1" x14ac:dyDescent="0.2">
      <c r="A51" s="25">
        <f>IF(F51&lt;&gt;"",1+MAX($A$6:A50),"")</f>
        <v>21</v>
      </c>
      <c r="B51" s="32" t="s">
        <v>110</v>
      </c>
      <c r="C51" s="33"/>
      <c r="D51" s="78"/>
      <c r="E51" s="38" t="s">
        <v>183</v>
      </c>
      <c r="F51" s="35">
        <v>2</v>
      </c>
      <c r="G51" s="14" t="s">
        <v>27</v>
      </c>
      <c r="H51" s="58">
        <v>0</v>
      </c>
      <c r="I51" s="36">
        <f>H51*F51</f>
        <v>0</v>
      </c>
      <c r="J51" s="26"/>
    </row>
    <row r="52" spans="1:11" s="8" customFormat="1" ht="16.5" thickBot="1" x14ac:dyDescent="0.25">
      <c r="A52" s="25" t="str">
        <f>IF(F52&lt;&gt;"",1+MAX($A$6:A51),"")</f>
        <v/>
      </c>
      <c r="B52" s="32"/>
      <c r="C52" s="33"/>
      <c r="D52" s="7"/>
      <c r="E52" s="95"/>
      <c r="F52" s="9"/>
      <c r="G52" s="10"/>
      <c r="H52" s="11"/>
      <c r="I52" s="40"/>
      <c r="J52" s="41"/>
    </row>
    <row r="53" spans="1:11" s="8" customFormat="1" ht="16.5" thickBot="1" x14ac:dyDescent="0.25">
      <c r="A53" s="25" t="str">
        <f>IF(F53&lt;&gt;"",1+MAX($A$6:A52),"")</f>
        <v/>
      </c>
      <c r="B53" s="6"/>
      <c r="C53" s="6"/>
      <c r="D53" s="12"/>
      <c r="E53" s="66" t="s">
        <v>75</v>
      </c>
      <c r="F53" s="13"/>
      <c r="G53" s="14"/>
      <c r="H53" s="15"/>
      <c r="I53" s="2"/>
      <c r="J53" s="5">
        <f>SUM(I47:I52)</f>
        <v>0</v>
      </c>
      <c r="K53" s="63"/>
    </row>
    <row r="54" spans="1:11" s="8" customFormat="1" ht="19.5" thickBot="1" x14ac:dyDescent="0.25">
      <c r="A54" s="25" t="str">
        <f>IF(F54&lt;&gt;"",1+MAX($A$6:A53),"")</f>
        <v/>
      </c>
      <c r="B54" s="6"/>
      <c r="C54" s="6"/>
      <c r="D54" s="12"/>
      <c r="E54" s="119"/>
      <c r="F54" s="120"/>
      <c r="G54" s="14"/>
      <c r="H54" s="15"/>
      <c r="I54" s="3"/>
      <c r="J54" s="43"/>
    </row>
    <row r="55" spans="1:11" s="8" customFormat="1" ht="16.5" thickBot="1" x14ac:dyDescent="0.25">
      <c r="A55" s="25" t="str">
        <f>IF(F55&lt;&gt;"",1+MAX($A$6:A54),"")</f>
        <v/>
      </c>
      <c r="B55" s="32"/>
      <c r="C55" s="39"/>
      <c r="D55" s="28"/>
      <c r="E55" s="121" t="s">
        <v>76</v>
      </c>
      <c r="F55" s="94"/>
      <c r="G55" s="30"/>
      <c r="H55" s="4"/>
      <c r="I55" s="31"/>
      <c r="J55" s="26"/>
    </row>
    <row r="56" spans="1:11" s="8" customFormat="1" x14ac:dyDescent="0.2">
      <c r="A56" s="25">
        <f>IF(F56&lt;&gt;"",1+MAX($A$6:A55),"")</f>
        <v>22</v>
      </c>
      <c r="B56" s="32" t="s">
        <v>121</v>
      </c>
      <c r="C56" s="33"/>
      <c r="D56" s="78"/>
      <c r="E56" s="38" t="s">
        <v>130</v>
      </c>
      <c r="F56" s="35">
        <v>286.89</v>
      </c>
      <c r="G56" s="14" t="s">
        <v>32</v>
      </c>
      <c r="H56" s="58">
        <v>0</v>
      </c>
      <c r="I56" s="36">
        <f>H56*F56</f>
        <v>0</v>
      </c>
      <c r="J56" s="26"/>
    </row>
    <row r="57" spans="1:11" s="8" customFormat="1" ht="16.5" thickBot="1" x14ac:dyDescent="0.25">
      <c r="A57" s="25" t="str">
        <f>IF(F57&lt;&gt;"",1+MAX($A$6:A56),"")</f>
        <v/>
      </c>
      <c r="B57" s="32"/>
      <c r="C57" s="33"/>
      <c r="D57" s="7"/>
      <c r="E57" s="95"/>
      <c r="F57" s="9"/>
      <c r="G57" s="10"/>
      <c r="H57" s="11"/>
      <c r="I57" s="40"/>
      <c r="J57" s="41"/>
    </row>
    <row r="58" spans="1:11" s="8" customFormat="1" ht="16.5" thickBot="1" x14ac:dyDescent="0.25">
      <c r="A58" s="25" t="str">
        <f>IF(F58&lt;&gt;"",1+MAX($A$6:A57),"")</f>
        <v/>
      </c>
      <c r="B58" s="6"/>
      <c r="C58" s="6"/>
      <c r="D58" s="12"/>
      <c r="E58" s="66" t="s">
        <v>132</v>
      </c>
      <c r="F58" s="13"/>
      <c r="G58" s="14"/>
      <c r="H58" s="15"/>
      <c r="I58" s="2"/>
      <c r="J58" s="5">
        <f>SUM(I55:I57)</f>
        <v>0</v>
      </c>
      <c r="K58" s="63"/>
    </row>
    <row r="59" spans="1:11" s="8" customFormat="1" ht="19.5" thickBot="1" x14ac:dyDescent="0.25">
      <c r="A59" s="25" t="str">
        <f>IF(F59&lt;&gt;"",1+MAX($A$6:A58),"")</f>
        <v/>
      </c>
      <c r="B59" s="6"/>
      <c r="C59" s="6"/>
      <c r="D59" s="12"/>
      <c r="E59" s="119"/>
      <c r="F59" s="120"/>
      <c r="G59" s="14"/>
      <c r="H59" s="15"/>
      <c r="I59" s="3"/>
      <c r="J59" s="43"/>
    </row>
    <row r="60" spans="1:11" s="8" customFormat="1" ht="16.5" thickBot="1" x14ac:dyDescent="0.25">
      <c r="A60" s="25" t="str">
        <f>IF(F60&lt;&gt;"",1+MAX($A$6:A59),"")</f>
        <v/>
      </c>
      <c r="B60" s="32"/>
      <c r="C60" s="39"/>
      <c r="D60" s="28"/>
      <c r="E60" s="121" t="s">
        <v>133</v>
      </c>
      <c r="F60" s="94"/>
      <c r="G60" s="30"/>
      <c r="H60" s="161"/>
      <c r="I60" s="31"/>
      <c r="J60" s="26"/>
    </row>
    <row r="61" spans="1:11" s="8" customFormat="1" x14ac:dyDescent="0.2">
      <c r="A61" s="25" t="str">
        <f>IF(F61&lt;&gt;"",1+MAX($A$6:A60),"")</f>
        <v/>
      </c>
      <c r="B61" s="32"/>
      <c r="C61" s="33"/>
      <c r="D61" s="78"/>
      <c r="E61" s="105" t="s">
        <v>134</v>
      </c>
      <c r="F61" s="35"/>
      <c r="G61" s="14"/>
      <c r="H61" s="4"/>
      <c r="I61" s="36"/>
      <c r="J61" s="26"/>
    </row>
    <row r="62" spans="1:11" s="8" customFormat="1" ht="31.5" x14ac:dyDescent="0.2">
      <c r="A62" s="25">
        <f>IF(F62&lt;&gt;"",1+MAX($A$6:A61),"")</f>
        <v>23</v>
      </c>
      <c r="B62" s="32" t="s">
        <v>110</v>
      </c>
      <c r="C62" s="33" t="s">
        <v>112</v>
      </c>
      <c r="D62" s="78"/>
      <c r="E62" s="38" t="s">
        <v>136</v>
      </c>
      <c r="F62" s="35">
        <v>2</v>
      </c>
      <c r="G62" s="14" t="s">
        <v>27</v>
      </c>
      <c r="H62" s="58">
        <v>0</v>
      </c>
      <c r="I62" s="36">
        <f>H62*F62</f>
        <v>0</v>
      </c>
      <c r="J62" s="26"/>
    </row>
    <row r="63" spans="1:11" s="8" customFormat="1" ht="16.5" thickBot="1" x14ac:dyDescent="0.25">
      <c r="A63" s="25" t="str">
        <f>IF(F63&lt;&gt;"",1+MAX($A$6:A62),"")</f>
        <v/>
      </c>
      <c r="B63" s="32"/>
      <c r="C63" s="33"/>
      <c r="D63" s="7"/>
      <c r="E63" s="95"/>
      <c r="F63" s="9"/>
      <c r="G63" s="10"/>
      <c r="H63" s="11"/>
      <c r="I63" s="40"/>
      <c r="J63" s="41"/>
    </row>
    <row r="64" spans="1:11" s="8" customFormat="1" ht="16.5" thickBot="1" x14ac:dyDescent="0.25">
      <c r="A64" s="25" t="str">
        <f>IF(F64&lt;&gt;"",1+MAX($A$6:A63),"")</f>
        <v/>
      </c>
      <c r="B64" s="6"/>
      <c r="C64" s="6"/>
      <c r="D64" s="12"/>
      <c r="E64" s="66" t="s">
        <v>135</v>
      </c>
      <c r="F64" s="13"/>
      <c r="G64" s="14"/>
      <c r="H64" s="15"/>
      <c r="I64" s="2"/>
      <c r="J64" s="5">
        <f>SUM(I60:I63)</f>
        <v>0</v>
      </c>
      <c r="K64" s="63"/>
    </row>
    <row r="65" spans="1:11" s="8" customFormat="1" ht="19.5" thickBot="1" x14ac:dyDescent="0.25">
      <c r="A65" s="25" t="str">
        <f>IF(F65&lt;&gt;"",1+MAX($A$6:A64),"")</f>
        <v/>
      </c>
      <c r="B65" s="6"/>
      <c r="C65" s="6"/>
      <c r="D65" s="12"/>
      <c r="E65" s="119"/>
      <c r="F65" s="120"/>
      <c r="G65" s="14"/>
      <c r="H65" s="15"/>
      <c r="I65" s="3"/>
      <c r="J65" s="43"/>
    </row>
    <row r="66" spans="1:11" s="8" customFormat="1" ht="16.5" thickBot="1" x14ac:dyDescent="0.25">
      <c r="A66" s="25" t="str">
        <f>IF(F66&lt;&gt;"",1+MAX($A$6:A65),"")</f>
        <v/>
      </c>
      <c r="B66" s="32"/>
      <c r="C66" s="39"/>
      <c r="D66" s="28"/>
      <c r="E66" s="121" t="s">
        <v>137</v>
      </c>
      <c r="F66" s="94"/>
      <c r="G66" s="30"/>
      <c r="H66" s="4"/>
      <c r="I66" s="31"/>
      <c r="J66" s="26"/>
    </row>
    <row r="67" spans="1:11" s="8" customFormat="1" x14ac:dyDescent="0.2">
      <c r="A67" s="25" t="str">
        <f>IF(F67&lt;&gt;"",1+MAX($A$6:A66),"")</f>
        <v/>
      </c>
      <c r="B67" s="32"/>
      <c r="C67" s="33"/>
      <c r="D67" s="6"/>
      <c r="E67" s="106" t="s">
        <v>79</v>
      </c>
      <c r="F67" s="35"/>
      <c r="G67" s="14"/>
      <c r="H67" s="161"/>
      <c r="I67" s="36"/>
      <c r="J67" s="26"/>
      <c r="K67" s="65"/>
    </row>
    <row r="68" spans="1:11" s="8" customFormat="1" ht="31.5" x14ac:dyDescent="0.2">
      <c r="A68" s="25">
        <f>IF(F68&lt;&gt;"",1+MAX($A$6:A67),"")</f>
        <v>24</v>
      </c>
      <c r="B68" s="32" t="s">
        <v>110</v>
      </c>
      <c r="C68" s="33" t="s">
        <v>146</v>
      </c>
      <c r="D68" s="78"/>
      <c r="E68" s="38" t="s">
        <v>145</v>
      </c>
      <c r="F68" s="35">
        <v>174</v>
      </c>
      <c r="G68" s="14" t="s">
        <v>32</v>
      </c>
      <c r="H68" s="58">
        <v>0</v>
      </c>
      <c r="I68" s="36">
        <f>H68*F68</f>
        <v>0</v>
      </c>
      <c r="J68" s="26"/>
    </row>
    <row r="69" spans="1:11" s="8" customFormat="1" x14ac:dyDescent="0.2">
      <c r="A69" s="25">
        <f>IF(F69&lt;&gt;"",1+MAX($A$6:A68),"")</f>
        <v>25</v>
      </c>
      <c r="B69" s="32" t="s">
        <v>110</v>
      </c>
      <c r="C69" s="33"/>
      <c r="D69" s="78"/>
      <c r="E69" s="38" t="s">
        <v>139</v>
      </c>
      <c r="F69" s="35">
        <v>2</v>
      </c>
      <c r="G69" s="14" t="s">
        <v>27</v>
      </c>
      <c r="H69" s="58">
        <v>0</v>
      </c>
      <c r="I69" s="36">
        <f>H69*F69</f>
        <v>0</v>
      </c>
      <c r="J69" s="26"/>
    </row>
    <row r="70" spans="1:11" s="8" customFormat="1" ht="63" x14ac:dyDescent="0.2">
      <c r="A70" s="25">
        <f>IF(F70&lt;&gt;"",1+MAX($A$6:A69),"")</f>
        <v>26</v>
      </c>
      <c r="B70" s="32" t="s">
        <v>110</v>
      </c>
      <c r="C70" s="211" t="s">
        <v>64</v>
      </c>
      <c r="D70" s="78"/>
      <c r="E70" s="38" t="s">
        <v>140</v>
      </c>
      <c r="F70" s="204">
        <f>(3.14*0.417*0.417*3.5/27)*23</f>
        <v>1.6279230566666669</v>
      </c>
      <c r="G70" s="205" t="s">
        <v>15</v>
      </c>
      <c r="H70" s="58">
        <v>0</v>
      </c>
      <c r="I70" s="36">
        <f t="shared" ref="I70:I71" si="3">H70*F70</f>
        <v>0</v>
      </c>
      <c r="J70" s="26"/>
    </row>
    <row r="71" spans="1:11" s="8" customFormat="1" x14ac:dyDescent="0.2">
      <c r="A71" s="25">
        <f>IF(F71&lt;&gt;"",1+MAX($A$6:A70),"")</f>
        <v>27</v>
      </c>
      <c r="B71" s="32" t="s">
        <v>110</v>
      </c>
      <c r="C71" s="211" t="s">
        <v>64</v>
      </c>
      <c r="D71" s="78"/>
      <c r="E71" s="132" t="s">
        <v>66</v>
      </c>
      <c r="F71" s="204">
        <v>23</v>
      </c>
      <c r="G71" s="205" t="s">
        <v>27</v>
      </c>
      <c r="H71" s="58">
        <v>0</v>
      </c>
      <c r="I71" s="36">
        <f t="shared" si="3"/>
        <v>0</v>
      </c>
      <c r="J71" s="26"/>
    </row>
    <row r="72" spans="1:11" s="8" customFormat="1" ht="16.5" thickBot="1" x14ac:dyDescent="0.25">
      <c r="A72" s="25" t="str">
        <f>IF(F72&lt;&gt;"",1+MAX($A$6:A71),"")</f>
        <v/>
      </c>
      <c r="B72" s="32"/>
      <c r="C72" s="33"/>
      <c r="D72" s="7"/>
      <c r="E72" s="95"/>
      <c r="F72" s="9"/>
      <c r="G72" s="10"/>
      <c r="H72" s="11"/>
      <c r="I72" s="40"/>
      <c r="J72" s="41"/>
    </row>
    <row r="73" spans="1:11" s="8" customFormat="1" ht="16.5" thickBot="1" x14ac:dyDescent="0.25">
      <c r="A73" s="25" t="str">
        <f>IF(F73&lt;&gt;"",1+MAX($A$6:A72),"")</f>
        <v/>
      </c>
      <c r="B73" s="6"/>
      <c r="C73" s="6"/>
      <c r="D73" s="12"/>
      <c r="E73" s="66" t="s">
        <v>138</v>
      </c>
      <c r="F73" s="13"/>
      <c r="G73" s="14"/>
      <c r="H73" s="15"/>
      <c r="I73" s="2"/>
      <c r="J73" s="5">
        <f>SUM(I67:I72)</f>
        <v>0</v>
      </c>
      <c r="K73" s="63"/>
    </row>
    <row r="74" spans="1:11" s="8" customFormat="1" ht="19.5" thickBot="1" x14ac:dyDescent="0.25">
      <c r="A74" s="25" t="str">
        <f>IF(F74&lt;&gt;"",1+MAX($A$6:A73),"")</f>
        <v/>
      </c>
      <c r="B74" s="6"/>
      <c r="C74" s="6"/>
      <c r="D74" s="12"/>
      <c r="E74" s="119"/>
      <c r="F74" s="120"/>
      <c r="G74" s="14"/>
      <c r="H74" s="15"/>
      <c r="I74" s="3"/>
      <c r="J74" s="43"/>
    </row>
    <row r="75" spans="1:11" s="8" customFormat="1" ht="16.5" thickBot="1" x14ac:dyDescent="0.25">
      <c r="A75" s="25" t="str">
        <f>IF(F75&lt;&gt;"",1+MAX($A$6:A74),"")</f>
        <v/>
      </c>
      <c r="B75" s="32"/>
      <c r="C75" s="39"/>
      <c r="D75" s="28"/>
      <c r="E75" s="121" t="s">
        <v>180</v>
      </c>
      <c r="F75" s="94"/>
      <c r="G75" s="30"/>
      <c r="H75" s="4"/>
      <c r="I75" s="31"/>
      <c r="J75" s="26"/>
    </row>
    <row r="76" spans="1:11" s="8" customFormat="1" ht="63" x14ac:dyDescent="0.2">
      <c r="A76" s="25" t="str">
        <f>IF(F76&lt;&gt;"",1+MAX($A$6:A75),"")</f>
        <v/>
      </c>
      <c r="B76" s="6"/>
      <c r="C76" s="6"/>
      <c r="D76" s="7"/>
      <c r="E76" s="105" t="s">
        <v>184</v>
      </c>
      <c r="F76" s="13"/>
      <c r="G76" s="14"/>
      <c r="H76" s="15"/>
      <c r="I76" s="3"/>
      <c r="J76" s="43"/>
    </row>
    <row r="77" spans="1:11" s="8" customFormat="1" x14ac:dyDescent="0.2">
      <c r="A77" s="25">
        <f>IF(F77&lt;&gt;"",1+MAX($A$6:A76),"")</f>
        <v>28</v>
      </c>
      <c r="B77" s="32" t="s">
        <v>110</v>
      </c>
      <c r="C77" s="226" t="s">
        <v>64</v>
      </c>
      <c r="D77" s="7"/>
      <c r="E77" s="38" t="s">
        <v>181</v>
      </c>
      <c r="F77" s="35">
        <f>45*3*1/27</f>
        <v>5</v>
      </c>
      <c r="G77" s="14" t="s">
        <v>15</v>
      </c>
      <c r="H77" s="160">
        <f>H$70</f>
        <v>0</v>
      </c>
      <c r="I77" s="36">
        <f>H77*F77</f>
        <v>0</v>
      </c>
      <c r="J77" s="26"/>
    </row>
    <row r="78" spans="1:11" s="8" customFormat="1" ht="31.5" x14ac:dyDescent="0.2">
      <c r="A78" s="25">
        <f>IF(F78&lt;&gt;"",1+MAX($A$6:A77),"")</f>
        <v>29</v>
      </c>
      <c r="B78" s="32" t="s">
        <v>110</v>
      </c>
      <c r="C78" s="226" t="s">
        <v>64</v>
      </c>
      <c r="D78" s="6"/>
      <c r="E78" s="34" t="s">
        <v>182</v>
      </c>
      <c r="F78" s="35">
        <f>45*3*2.5</f>
        <v>337.5</v>
      </c>
      <c r="G78" s="14" t="s">
        <v>16</v>
      </c>
      <c r="H78" s="58">
        <v>0</v>
      </c>
      <c r="I78" s="36">
        <f>H78*F78</f>
        <v>0</v>
      </c>
      <c r="J78" s="26"/>
      <c r="K78" s="65"/>
    </row>
    <row r="79" spans="1:11" s="8" customFormat="1" x14ac:dyDescent="0.2">
      <c r="A79" s="25">
        <f>IF(F79&lt;&gt;"",1+MAX($A$6:A78),"")</f>
        <v>30</v>
      </c>
      <c r="B79" s="32" t="s">
        <v>110</v>
      </c>
      <c r="C79" s="226" t="s">
        <v>64</v>
      </c>
      <c r="D79" s="6"/>
      <c r="E79" s="34" t="s">
        <v>38</v>
      </c>
      <c r="F79" s="35">
        <f>45*1*2</f>
        <v>90</v>
      </c>
      <c r="G79" s="14" t="s">
        <v>30</v>
      </c>
      <c r="H79" s="58">
        <v>0</v>
      </c>
      <c r="I79" s="36">
        <f>H79*F79</f>
        <v>0</v>
      </c>
      <c r="J79" s="26"/>
      <c r="K79" s="65"/>
    </row>
    <row r="80" spans="1:11" s="8" customFormat="1" x14ac:dyDescent="0.2">
      <c r="A80" s="25">
        <f>IF(F80&lt;&gt;"",1+MAX($A$6:A79),"")</f>
        <v>31</v>
      </c>
      <c r="B80" s="32" t="s">
        <v>110</v>
      </c>
      <c r="C80" s="227"/>
      <c r="D80" s="78"/>
      <c r="E80" s="131" t="s">
        <v>28</v>
      </c>
      <c r="F80" s="204">
        <f>45*4*2/27</f>
        <v>13.333333333333334</v>
      </c>
      <c r="G80" s="205" t="s">
        <v>15</v>
      </c>
      <c r="H80" s="58">
        <v>0</v>
      </c>
      <c r="I80" s="36">
        <f t="shared" ref="I80:I81" si="4">H80*F80</f>
        <v>0</v>
      </c>
      <c r="J80" s="26"/>
    </row>
    <row r="81" spans="1:11" s="8" customFormat="1" x14ac:dyDescent="0.2">
      <c r="A81" s="25">
        <f>IF(F81&lt;&gt;"",1+MAX($A$6:A80),"")</f>
        <v>32</v>
      </c>
      <c r="B81" s="32" t="s">
        <v>110</v>
      </c>
      <c r="C81" s="227"/>
      <c r="D81" s="78"/>
      <c r="E81" s="132" t="s">
        <v>29</v>
      </c>
      <c r="F81" s="204">
        <f>F80-(45*1*2/27)</f>
        <v>10</v>
      </c>
      <c r="G81" s="205" t="s">
        <v>15</v>
      </c>
      <c r="H81" s="58">
        <v>0</v>
      </c>
      <c r="I81" s="36">
        <f t="shared" si="4"/>
        <v>0</v>
      </c>
      <c r="J81" s="26"/>
    </row>
    <row r="82" spans="1:11" s="8" customFormat="1" ht="63" x14ac:dyDescent="0.2">
      <c r="A82" s="25" t="str">
        <f>IF(F82&lt;&gt;"",1+MAX($A$6:A81),"")</f>
        <v/>
      </c>
      <c r="B82" s="32" t="s">
        <v>110</v>
      </c>
      <c r="C82" s="228"/>
      <c r="D82" s="7"/>
      <c r="E82" s="105" t="s">
        <v>185</v>
      </c>
      <c r="F82" s="13"/>
      <c r="G82" s="14"/>
      <c r="H82" s="15"/>
      <c r="I82" s="3"/>
      <c r="J82" s="43"/>
    </row>
    <row r="83" spans="1:11" s="8" customFormat="1" x14ac:dyDescent="0.2">
      <c r="A83" s="25">
        <f>IF(F83&lt;&gt;"",1+MAX($A$6:A82),"")</f>
        <v>33</v>
      </c>
      <c r="B83" s="32" t="s">
        <v>110</v>
      </c>
      <c r="C83" s="226" t="s">
        <v>64</v>
      </c>
      <c r="D83" s="7"/>
      <c r="E83" s="38" t="s">
        <v>181</v>
      </c>
      <c r="F83" s="35">
        <f>45*1*2/27</f>
        <v>3.3333333333333335</v>
      </c>
      <c r="G83" s="14" t="s">
        <v>15</v>
      </c>
      <c r="H83" s="160">
        <f>H$70</f>
        <v>0</v>
      </c>
      <c r="I83" s="36">
        <f>H83*F83</f>
        <v>0</v>
      </c>
      <c r="J83" s="26"/>
    </row>
    <row r="84" spans="1:11" s="8" customFormat="1" ht="31.5" x14ac:dyDescent="0.2">
      <c r="A84" s="25">
        <f>IF(F84&lt;&gt;"",1+MAX($A$6:A83),"")</f>
        <v>34</v>
      </c>
      <c r="B84" s="32" t="s">
        <v>110</v>
      </c>
      <c r="C84" s="226" t="s">
        <v>64</v>
      </c>
      <c r="D84" s="6"/>
      <c r="E84" s="34" t="s">
        <v>186</v>
      </c>
      <c r="F84" s="35">
        <f>45*2*5.0064</f>
        <v>450.57600000000002</v>
      </c>
      <c r="G84" s="14" t="s">
        <v>16</v>
      </c>
      <c r="H84" s="160">
        <f>H$78</f>
        <v>0</v>
      </c>
      <c r="I84" s="36">
        <f>H84*F84</f>
        <v>0</v>
      </c>
      <c r="J84" s="26"/>
      <c r="K84" s="65"/>
    </row>
    <row r="85" spans="1:11" s="8" customFormat="1" x14ac:dyDescent="0.2">
      <c r="A85" s="25">
        <f>IF(F85&lt;&gt;"",1+MAX($A$6:A84),"")</f>
        <v>35</v>
      </c>
      <c r="B85" s="32" t="s">
        <v>110</v>
      </c>
      <c r="C85" s="226" t="s">
        <v>64</v>
      </c>
      <c r="D85" s="6"/>
      <c r="E85" s="34" t="s">
        <v>38</v>
      </c>
      <c r="F85" s="35">
        <f>45*2*2</f>
        <v>180</v>
      </c>
      <c r="G85" s="14" t="s">
        <v>30</v>
      </c>
      <c r="H85" s="160">
        <f>H$79</f>
        <v>0</v>
      </c>
      <c r="I85" s="36">
        <f>H85*F85</f>
        <v>0</v>
      </c>
      <c r="J85" s="26"/>
      <c r="K85" s="65"/>
    </row>
    <row r="86" spans="1:11" s="8" customFormat="1" ht="16.5" thickBot="1" x14ac:dyDescent="0.25">
      <c r="A86" s="25" t="str">
        <f>IF(F86&lt;&gt;"",1+MAX($A$6:A85),"")</f>
        <v/>
      </c>
      <c r="B86" s="32"/>
      <c r="C86" s="33"/>
      <c r="D86" s="7"/>
      <c r="E86" s="95"/>
      <c r="F86" s="9"/>
      <c r="G86" s="10"/>
      <c r="H86" s="11"/>
      <c r="I86" s="40"/>
      <c r="J86" s="41"/>
    </row>
    <row r="87" spans="1:11" s="8" customFormat="1" ht="16.5" thickBot="1" x14ac:dyDescent="0.25">
      <c r="A87" s="25" t="str">
        <f>IF(F87&lt;&gt;"",1+MAX($A$6:A86),"")</f>
        <v/>
      </c>
      <c r="B87" s="6"/>
      <c r="C87" s="6"/>
      <c r="D87" s="12"/>
      <c r="E87" s="66" t="s">
        <v>187</v>
      </c>
      <c r="F87" s="13"/>
      <c r="G87" s="14"/>
      <c r="H87" s="15"/>
      <c r="I87" s="2"/>
      <c r="J87" s="5">
        <f>SUM(I76:I86)</f>
        <v>0</v>
      </c>
      <c r="K87" s="63"/>
    </row>
    <row r="88" spans="1:11" s="8" customFormat="1" ht="19.5" thickBot="1" x14ac:dyDescent="0.25">
      <c r="A88" s="25" t="str">
        <f>IF(F88&lt;&gt;"",1+MAX($A$6:A87),"")</f>
        <v/>
      </c>
      <c r="B88" s="6"/>
      <c r="C88" s="6"/>
      <c r="D88" s="12"/>
      <c r="E88" s="119"/>
      <c r="F88" s="120"/>
      <c r="G88" s="14"/>
      <c r="H88" s="15"/>
      <c r="I88" s="3"/>
      <c r="J88" s="43"/>
    </row>
    <row r="89" spans="1:11" s="8" customFormat="1" ht="16.5" thickBot="1" x14ac:dyDescent="0.25">
      <c r="A89" s="25" t="str">
        <f>IF(F89&lt;&gt;"",1+MAX($A$6:A88),"")</f>
        <v/>
      </c>
      <c r="B89" s="32"/>
      <c r="C89" s="39"/>
      <c r="D89" s="28"/>
      <c r="E89" s="121" t="s">
        <v>80</v>
      </c>
      <c r="F89" s="94"/>
      <c r="G89" s="30"/>
      <c r="H89" s="4"/>
      <c r="I89" s="31"/>
      <c r="J89" s="26"/>
    </row>
    <row r="90" spans="1:11" s="8" customFormat="1" x14ac:dyDescent="0.2">
      <c r="A90" s="25" t="str">
        <f>IF(F90&lt;&gt;"",1+MAX($A$6:A89),"")</f>
        <v/>
      </c>
      <c r="B90" s="32"/>
      <c r="C90" s="33"/>
      <c r="D90" s="6"/>
      <c r="E90" s="106" t="s">
        <v>107</v>
      </c>
      <c r="F90" s="35"/>
      <c r="G90" s="14"/>
      <c r="H90" s="161"/>
      <c r="I90" s="36"/>
      <c r="J90" s="26"/>
      <c r="K90" s="65"/>
    </row>
    <row r="91" spans="1:11" s="8" customFormat="1" x14ac:dyDescent="0.2">
      <c r="A91" s="25">
        <f>IF(F91&lt;&gt;"",1+MAX($A$6:A90),"")</f>
        <v>36</v>
      </c>
      <c r="B91" s="32" t="s">
        <v>109</v>
      </c>
      <c r="C91" s="33"/>
      <c r="D91" s="78"/>
      <c r="E91" s="38" t="s">
        <v>108</v>
      </c>
      <c r="F91" s="35">
        <v>5566</v>
      </c>
      <c r="G91" s="14" t="s">
        <v>31</v>
      </c>
      <c r="H91" s="58">
        <v>0</v>
      </c>
      <c r="I91" s="36">
        <f>H91*F91</f>
        <v>0</v>
      </c>
      <c r="J91" s="26"/>
    </row>
    <row r="92" spans="1:11" s="22" customFormat="1" x14ac:dyDescent="0.2">
      <c r="A92" s="25" t="str">
        <f>IF(F92&lt;&gt;"",1+MAX($A$6:A91),"")</f>
        <v/>
      </c>
      <c r="B92" s="32"/>
      <c r="C92" s="33"/>
      <c r="D92" s="78"/>
      <c r="E92" s="212"/>
      <c r="F92" s="126"/>
      <c r="G92" s="127"/>
      <c r="H92" s="160"/>
      <c r="I92" s="128"/>
      <c r="J92" s="26"/>
    </row>
    <row r="93" spans="1:11" s="8" customFormat="1" x14ac:dyDescent="0.2">
      <c r="A93" s="25" t="str">
        <f>IF(F93&lt;&gt;"",1+MAX($A$6:A92),"")</f>
        <v/>
      </c>
      <c r="B93" s="32"/>
      <c r="C93" s="33"/>
      <c r="D93" s="6"/>
      <c r="E93" s="106" t="s">
        <v>141</v>
      </c>
      <c r="F93" s="35"/>
      <c r="G93" s="14"/>
      <c r="H93" s="161"/>
      <c r="I93" s="36"/>
      <c r="J93" s="26"/>
      <c r="K93" s="65"/>
    </row>
    <row r="94" spans="1:11" s="8" customFormat="1" ht="31.5" x14ac:dyDescent="0.2">
      <c r="A94" s="25">
        <f>IF(F94&lt;&gt;"",1+MAX($A$6:A93),"")</f>
        <v>37</v>
      </c>
      <c r="B94" s="32" t="s">
        <v>110</v>
      </c>
      <c r="C94" s="33" t="s">
        <v>142</v>
      </c>
      <c r="D94" s="78"/>
      <c r="E94" s="38" t="s">
        <v>147</v>
      </c>
      <c r="F94" s="35">
        <v>103.55</v>
      </c>
      <c r="G94" s="14" t="s">
        <v>15</v>
      </c>
      <c r="H94" s="58">
        <v>0</v>
      </c>
      <c r="I94" s="36">
        <f>H94*F94</f>
        <v>0</v>
      </c>
      <c r="J94" s="26"/>
    </row>
    <row r="95" spans="1:11" s="22" customFormat="1" x14ac:dyDescent="0.2">
      <c r="A95" s="25" t="str">
        <f>IF(F95&lt;&gt;"",1+MAX($A$6:A94),"")</f>
        <v/>
      </c>
      <c r="B95" s="32"/>
      <c r="C95" s="33"/>
      <c r="D95" s="78"/>
      <c r="E95" s="212"/>
      <c r="F95" s="126"/>
      <c r="G95" s="127"/>
      <c r="H95" s="160"/>
      <c r="I95" s="128"/>
      <c r="J95" s="26"/>
    </row>
    <row r="96" spans="1:11" s="8" customFormat="1" x14ac:dyDescent="0.2">
      <c r="A96" s="25" t="str">
        <f>IF(F96&lt;&gt;"",1+MAX($A$6:A95),"")</f>
        <v/>
      </c>
      <c r="B96" s="32"/>
      <c r="C96" s="33"/>
      <c r="D96" s="6"/>
      <c r="E96" s="106" t="s">
        <v>81</v>
      </c>
      <c r="F96" s="35"/>
      <c r="G96" s="14"/>
      <c r="H96" s="161"/>
      <c r="I96" s="36"/>
      <c r="J96" s="26"/>
      <c r="K96" s="65"/>
    </row>
    <row r="97" spans="1:14" s="8" customFormat="1" x14ac:dyDescent="0.2">
      <c r="A97" s="25">
        <f>IF(F97&lt;&gt;"",1+MAX($A$6:A96),"")</f>
        <v>38</v>
      </c>
      <c r="B97" s="32" t="s">
        <v>110</v>
      </c>
      <c r="C97" s="33"/>
      <c r="D97" s="78"/>
      <c r="E97" s="38" t="s">
        <v>44</v>
      </c>
      <c r="F97" s="35">
        <f>199.7*1.2</f>
        <v>239.64</v>
      </c>
      <c r="G97" s="14" t="s">
        <v>15</v>
      </c>
      <c r="H97" s="58">
        <v>0</v>
      </c>
      <c r="I97" s="36">
        <f>H97*F97</f>
        <v>0</v>
      </c>
      <c r="J97" s="26"/>
    </row>
    <row r="98" spans="1:14" s="8" customFormat="1" x14ac:dyDescent="0.2">
      <c r="A98" s="25">
        <f>IF(F98&lt;&gt;"",1+MAX($A$6:A97),"")</f>
        <v>39</v>
      </c>
      <c r="B98" s="32" t="s">
        <v>110</v>
      </c>
      <c r="C98" s="33"/>
      <c r="D98" s="78"/>
      <c r="E98" s="38" t="s">
        <v>45</v>
      </c>
      <c r="F98" s="35">
        <f>17.76*1.2</f>
        <v>21.312000000000001</v>
      </c>
      <c r="G98" s="14" t="s">
        <v>15</v>
      </c>
      <c r="H98" s="58">
        <v>0</v>
      </c>
      <c r="I98" s="36">
        <f>H98*F98</f>
        <v>0</v>
      </c>
      <c r="J98" s="26"/>
    </row>
    <row r="99" spans="1:14" s="8" customFormat="1" x14ac:dyDescent="0.2">
      <c r="A99" s="25" t="str">
        <f>IF(F99&lt;&gt;"",1+MAX($A$6:A98),"")</f>
        <v/>
      </c>
      <c r="B99" s="32"/>
      <c r="C99" s="33"/>
      <c r="D99" s="6"/>
      <c r="E99" s="106" t="s">
        <v>82</v>
      </c>
      <c r="F99" s="35"/>
      <c r="G99" s="14"/>
      <c r="H99" s="161"/>
      <c r="I99" s="36"/>
      <c r="J99" s="26"/>
      <c r="K99" s="65"/>
    </row>
    <row r="100" spans="1:14" s="8" customFormat="1" ht="47.25" x14ac:dyDescent="0.2">
      <c r="A100" s="25">
        <f>IF(F100&lt;&gt;"",1+MAX($A$6:A99),"")</f>
        <v>40</v>
      </c>
      <c r="B100" s="32"/>
      <c r="C100" s="33"/>
      <c r="D100" s="78"/>
      <c r="E100" s="38" t="s">
        <v>50</v>
      </c>
      <c r="F100" s="35">
        <f>(F97-F98)/18</f>
        <v>12.129333333333332</v>
      </c>
      <c r="G100" s="14" t="s">
        <v>42</v>
      </c>
      <c r="H100" s="58">
        <v>0</v>
      </c>
      <c r="I100" s="36">
        <f>H100*F100</f>
        <v>0</v>
      </c>
      <c r="J100" s="26"/>
    </row>
    <row r="101" spans="1:14" s="8" customFormat="1" ht="47.25" x14ac:dyDescent="0.2">
      <c r="A101" s="25">
        <f>IF(F101&lt;&gt;"",1+MAX($A$6:A100),"")</f>
        <v>41</v>
      </c>
      <c r="B101" s="32"/>
      <c r="C101" s="33"/>
      <c r="D101" s="78"/>
      <c r="E101" s="38" t="s">
        <v>51</v>
      </c>
      <c r="F101" s="126">
        <f>(315-44)/18</f>
        <v>15.055555555555555</v>
      </c>
      <c r="G101" s="14" t="s">
        <v>42</v>
      </c>
      <c r="H101" s="160">
        <f t="shared" ref="H101:H102" si="5">H$100</f>
        <v>0</v>
      </c>
      <c r="I101" s="36">
        <f>H101*F101</f>
        <v>0</v>
      </c>
      <c r="J101" s="26"/>
    </row>
    <row r="102" spans="1:14" s="8" customFormat="1" ht="47.25" x14ac:dyDescent="0.2">
      <c r="A102" s="25">
        <f>IF(F102&lt;&gt;"",1+MAX($A$6:A101),"")</f>
        <v>42</v>
      </c>
      <c r="B102" s="32"/>
      <c r="C102" s="33"/>
      <c r="D102" s="78"/>
      <c r="E102" s="38" t="s">
        <v>52</v>
      </c>
      <c r="F102" s="126">
        <f>(62-29)/18</f>
        <v>1.8333333333333333</v>
      </c>
      <c r="G102" s="14" t="s">
        <v>42</v>
      </c>
      <c r="H102" s="160">
        <f t="shared" si="5"/>
        <v>0</v>
      </c>
      <c r="I102" s="36">
        <f>H102*F102</f>
        <v>0</v>
      </c>
      <c r="J102" s="26"/>
    </row>
    <row r="103" spans="1:14" s="8" customFormat="1" ht="16.5" thickBot="1" x14ac:dyDescent="0.25">
      <c r="A103" s="25" t="str">
        <f>IF(F103&lt;&gt;"",1+MAX($A$6:A102),"")</f>
        <v/>
      </c>
      <c r="B103" s="32"/>
      <c r="C103" s="33"/>
      <c r="D103" s="7"/>
      <c r="E103" s="95"/>
      <c r="F103" s="9"/>
      <c r="G103" s="10"/>
      <c r="H103" s="11"/>
      <c r="I103" s="40"/>
      <c r="J103" s="41"/>
    </row>
    <row r="104" spans="1:14" s="8" customFormat="1" ht="16.5" thickBot="1" x14ac:dyDescent="0.25">
      <c r="A104" s="25" t="str">
        <f>IF(F104&lt;&gt;"",1+MAX($A$6:A103),"")</f>
        <v/>
      </c>
      <c r="B104" s="6"/>
      <c r="C104" s="6"/>
      <c r="D104" s="12"/>
      <c r="E104" s="66" t="s">
        <v>83</v>
      </c>
      <c r="F104" s="13"/>
      <c r="G104" s="14"/>
      <c r="H104" s="15"/>
      <c r="I104" s="2"/>
      <c r="J104" s="5">
        <f>SUM(I89:I103)</f>
        <v>0</v>
      </c>
      <c r="K104" s="63"/>
      <c r="N104" s="124"/>
    </row>
    <row r="105" spans="1:14" s="8" customFormat="1" ht="19.5" thickBot="1" x14ac:dyDescent="0.25">
      <c r="A105" s="25" t="str">
        <f>IF(F105&lt;&gt;"",1+MAX($A$6:A104),"")</f>
        <v/>
      </c>
      <c r="B105" s="6"/>
      <c r="C105" s="6"/>
      <c r="D105" s="12"/>
      <c r="E105" s="119"/>
      <c r="F105" s="120"/>
      <c r="G105" s="14"/>
      <c r="H105" s="15"/>
      <c r="I105" s="3"/>
      <c r="J105" s="43"/>
    </row>
    <row r="106" spans="1:14" s="8" customFormat="1" ht="16.5" thickBot="1" x14ac:dyDescent="0.25">
      <c r="A106" s="25" t="str">
        <f>IF(F106&lt;&gt;"",1+MAX($A$6:A105),"")</f>
        <v/>
      </c>
      <c r="B106" s="32"/>
      <c r="C106" s="39"/>
      <c r="D106" s="28"/>
      <c r="E106" s="121" t="s">
        <v>84</v>
      </c>
      <c r="F106" s="94"/>
      <c r="G106" s="30"/>
      <c r="H106" s="4"/>
      <c r="I106" s="31"/>
      <c r="J106" s="26"/>
    </row>
    <row r="107" spans="1:14" s="8" customFormat="1" ht="16.5" thickBot="1" x14ac:dyDescent="0.25">
      <c r="A107" s="25" t="str">
        <f>IF(F107&lt;&gt;"",1+MAX($A$6:A106),"")</f>
        <v/>
      </c>
      <c r="B107" s="32"/>
      <c r="C107" s="33"/>
      <c r="D107" s="33"/>
      <c r="E107" s="138" t="s">
        <v>85</v>
      </c>
      <c r="F107" s="136"/>
      <c r="G107" s="14"/>
      <c r="H107" s="161"/>
      <c r="I107" s="36"/>
      <c r="J107" s="26"/>
      <c r="K107" s="65"/>
    </row>
    <row r="108" spans="1:14" s="8" customFormat="1" x14ac:dyDescent="0.2">
      <c r="A108" s="25" t="str">
        <f>IF(F108&lt;&gt;"",1+MAX($A$6:A107),"")</f>
        <v/>
      </c>
      <c r="B108" s="32"/>
      <c r="C108" s="33"/>
      <c r="D108" s="6"/>
      <c r="E108" s="137" t="s">
        <v>86</v>
      </c>
      <c r="F108" s="204"/>
      <c r="G108" s="14"/>
      <c r="H108" s="161"/>
      <c r="I108" s="36"/>
      <c r="J108" s="26"/>
      <c r="K108" s="65"/>
    </row>
    <row r="109" spans="1:14" s="8" customFormat="1" x14ac:dyDescent="0.2">
      <c r="A109" s="25">
        <f>IF(F109&lt;&gt;"",1+MAX($A$6:A108),"")</f>
        <v>43</v>
      </c>
      <c r="B109" s="32" t="s">
        <v>110</v>
      </c>
      <c r="C109" s="33" t="s">
        <v>112</v>
      </c>
      <c r="D109" s="6"/>
      <c r="E109" s="131" t="s">
        <v>171</v>
      </c>
      <c r="F109" s="204">
        <f>169</f>
        <v>169</v>
      </c>
      <c r="G109" s="205" t="s">
        <v>32</v>
      </c>
      <c r="H109" s="58">
        <v>0</v>
      </c>
      <c r="I109" s="36">
        <f t="shared" ref="I109" si="6">H109*F109</f>
        <v>0</v>
      </c>
      <c r="J109" s="26"/>
      <c r="K109" s="65"/>
    </row>
    <row r="110" spans="1:14" s="8" customFormat="1" x14ac:dyDescent="0.2">
      <c r="A110" s="25">
        <f>IF(F110&lt;&gt;"",1+MAX($A$6:A109),"")</f>
        <v>44</v>
      </c>
      <c r="B110" s="32" t="s">
        <v>110</v>
      </c>
      <c r="C110" s="33" t="s">
        <v>112</v>
      </c>
      <c r="D110" s="6"/>
      <c r="E110" s="131" t="s">
        <v>173</v>
      </c>
      <c r="F110" s="204">
        <v>45</v>
      </c>
      <c r="G110" s="205" t="s">
        <v>32</v>
      </c>
      <c r="H110" s="58">
        <v>0</v>
      </c>
      <c r="I110" s="36">
        <f t="shared" ref="I110" si="7">H110*F110</f>
        <v>0</v>
      </c>
      <c r="J110" s="26"/>
      <c r="K110" s="65"/>
    </row>
    <row r="111" spans="1:14" s="8" customFormat="1" ht="63" x14ac:dyDescent="0.2">
      <c r="A111" s="25">
        <f>IF(F111&lt;&gt;"",1+MAX($A$6:A110),"")</f>
        <v>45</v>
      </c>
      <c r="B111" s="32" t="s">
        <v>110</v>
      </c>
      <c r="C111" s="33" t="s">
        <v>112</v>
      </c>
      <c r="D111" s="6"/>
      <c r="E111" s="225" t="s">
        <v>174</v>
      </c>
      <c r="F111" s="204">
        <f>(169*3.67*3/27)+(45*3.67*6/27)</f>
        <v>105.61444444444444</v>
      </c>
      <c r="G111" s="205" t="s">
        <v>15</v>
      </c>
      <c r="H111" s="160">
        <f>H$80</f>
        <v>0</v>
      </c>
      <c r="I111" s="36">
        <f t="shared" ref="I111:I115" si="8">H111*F111</f>
        <v>0</v>
      </c>
      <c r="J111" s="26"/>
      <c r="K111" s="65"/>
    </row>
    <row r="112" spans="1:14" s="8" customFormat="1" x14ac:dyDescent="0.2">
      <c r="A112" s="25">
        <f>IF(F112&lt;&gt;"",1+MAX($A$6:A111),"")</f>
        <v>46</v>
      </c>
      <c r="B112" s="32" t="s">
        <v>110</v>
      </c>
      <c r="C112" s="33" t="s">
        <v>112</v>
      </c>
      <c r="D112" s="6"/>
      <c r="E112" s="132" t="s">
        <v>57</v>
      </c>
      <c r="F112" s="204">
        <f>(169*3.67*1.334/27)+(45*3.67*1.5/27)</f>
        <v>39.8189562962963</v>
      </c>
      <c r="G112" s="205" t="s">
        <v>15</v>
      </c>
      <c r="H112" s="160">
        <f>H$31</f>
        <v>0</v>
      </c>
      <c r="I112" s="36">
        <f t="shared" si="8"/>
        <v>0</v>
      </c>
      <c r="J112" s="26"/>
      <c r="K112" s="65"/>
    </row>
    <row r="113" spans="1:11" s="22" customFormat="1" x14ac:dyDescent="0.2">
      <c r="A113" s="25">
        <f>IF(F113&lt;&gt;"",1+MAX($A$6:A112),"")</f>
        <v>47</v>
      </c>
      <c r="B113" s="32" t="s">
        <v>110</v>
      </c>
      <c r="C113" s="33" t="s">
        <v>112</v>
      </c>
      <c r="D113" s="6"/>
      <c r="E113" s="132" t="s">
        <v>164</v>
      </c>
      <c r="F113" s="204">
        <f>F111-F112</f>
        <v>65.795488148148138</v>
      </c>
      <c r="G113" s="205" t="s">
        <v>15</v>
      </c>
      <c r="H113" s="160">
        <f>H$112</f>
        <v>0</v>
      </c>
      <c r="I113" s="36">
        <f t="shared" si="8"/>
        <v>0</v>
      </c>
      <c r="J113" s="26"/>
      <c r="K113" s="129"/>
    </row>
    <row r="114" spans="1:11" s="8" customFormat="1" x14ac:dyDescent="0.2">
      <c r="A114" s="25">
        <f>IF(F114&lt;&gt;"",1+MAX($A$6:A113),"")</f>
        <v>48</v>
      </c>
      <c r="B114" s="32" t="s">
        <v>110</v>
      </c>
      <c r="C114" s="33" t="s">
        <v>112</v>
      </c>
      <c r="D114" s="6"/>
      <c r="E114" s="131" t="s">
        <v>56</v>
      </c>
      <c r="F114" s="204">
        <v>214</v>
      </c>
      <c r="G114" s="205" t="s">
        <v>32</v>
      </c>
      <c r="H114" s="58">
        <v>0</v>
      </c>
      <c r="I114" s="36">
        <f t="shared" si="8"/>
        <v>0</v>
      </c>
      <c r="J114" s="26"/>
      <c r="K114" s="65"/>
    </row>
    <row r="115" spans="1:11" s="8" customFormat="1" x14ac:dyDescent="0.2">
      <c r="A115" s="25">
        <f>IF(F115&lt;&gt;"",1+MAX($A$6:A114),"")</f>
        <v>49</v>
      </c>
      <c r="B115" s="32" t="s">
        <v>110</v>
      </c>
      <c r="C115" s="33" t="s">
        <v>112</v>
      </c>
      <c r="D115" s="6"/>
      <c r="E115" s="132" t="s">
        <v>39</v>
      </c>
      <c r="F115" s="204">
        <f>45*6*2</f>
        <v>540</v>
      </c>
      <c r="G115" s="205" t="s">
        <v>31</v>
      </c>
      <c r="H115" s="58">
        <v>0</v>
      </c>
      <c r="I115" s="36">
        <f t="shared" si="8"/>
        <v>0</v>
      </c>
      <c r="J115" s="26"/>
      <c r="K115" s="65"/>
    </row>
    <row r="116" spans="1:11" s="8" customFormat="1" x14ac:dyDescent="0.2">
      <c r="A116" s="25" t="str">
        <f>IF(F116&lt;&gt;"",1+MAX($A$6:A115),"")</f>
        <v/>
      </c>
      <c r="B116" s="32"/>
      <c r="C116" s="33"/>
      <c r="D116" s="6"/>
      <c r="E116" s="134" t="s">
        <v>87</v>
      </c>
      <c r="F116" s="204"/>
      <c r="G116" s="14"/>
      <c r="H116" s="161"/>
      <c r="I116" s="36"/>
      <c r="J116" s="26"/>
      <c r="K116" s="65"/>
    </row>
    <row r="117" spans="1:11" s="8" customFormat="1" ht="31.5" x14ac:dyDescent="0.2">
      <c r="A117" s="25">
        <f>IF(F117&lt;&gt;"",1+MAX($A$6:A116),"")</f>
        <v>50</v>
      </c>
      <c r="B117" s="32" t="s">
        <v>110</v>
      </c>
      <c r="C117" s="33" t="s">
        <v>112</v>
      </c>
      <c r="D117" s="6"/>
      <c r="E117" s="135" t="s">
        <v>175</v>
      </c>
      <c r="F117" s="206">
        <v>1</v>
      </c>
      <c r="G117" s="205" t="s">
        <v>27</v>
      </c>
      <c r="H117" s="58">
        <v>0</v>
      </c>
      <c r="I117" s="36">
        <f t="shared" ref="I117:I118" si="9">H117*F117</f>
        <v>0</v>
      </c>
      <c r="J117" s="26"/>
      <c r="K117" s="65"/>
    </row>
    <row r="118" spans="1:11" s="8" customFormat="1" ht="47.25" x14ac:dyDescent="0.2">
      <c r="A118" s="25">
        <f>IF(F118&lt;&gt;"",1+MAX($A$6:A117),"")</f>
        <v>51</v>
      </c>
      <c r="B118" s="32" t="s">
        <v>110</v>
      </c>
      <c r="C118" s="33" t="s">
        <v>112</v>
      </c>
      <c r="D118" s="6"/>
      <c r="E118" s="225" t="s">
        <v>177</v>
      </c>
      <c r="F118" s="204">
        <f>(3.14*3*3*6/27)</f>
        <v>6.28</v>
      </c>
      <c r="G118" s="205" t="s">
        <v>15</v>
      </c>
      <c r="H118" s="160">
        <f>H$80</f>
        <v>0</v>
      </c>
      <c r="I118" s="36">
        <f t="shared" si="9"/>
        <v>0</v>
      </c>
      <c r="J118" s="26"/>
      <c r="K118" s="65"/>
    </row>
    <row r="119" spans="1:11" s="8" customFormat="1" x14ac:dyDescent="0.2">
      <c r="A119" s="25">
        <f>IF(F119&lt;&gt;"",1+MAX($A$6:A118),"")</f>
        <v>52</v>
      </c>
      <c r="B119" s="32" t="s">
        <v>110</v>
      </c>
      <c r="C119" s="33" t="s">
        <v>112</v>
      </c>
      <c r="D119" s="6"/>
      <c r="E119" s="34" t="s">
        <v>176</v>
      </c>
      <c r="F119" s="204">
        <f>(3.14*3*3*0.5/27)</f>
        <v>0.52333333333333332</v>
      </c>
      <c r="G119" s="14" t="s">
        <v>15</v>
      </c>
      <c r="H119" s="160">
        <f>H$112</f>
        <v>0</v>
      </c>
      <c r="I119" s="36">
        <f>H119*F119</f>
        <v>0</v>
      </c>
      <c r="J119" s="26"/>
      <c r="K119" s="63"/>
    </row>
    <row r="120" spans="1:11" s="8" customFormat="1" x14ac:dyDescent="0.2">
      <c r="A120" s="25">
        <f>IF(F120&lt;&gt;"",1+MAX($A$6:A119),"")</f>
        <v>53</v>
      </c>
      <c r="B120" s="32" t="s">
        <v>110</v>
      </c>
      <c r="C120" s="33" t="s">
        <v>112</v>
      </c>
      <c r="D120" s="6"/>
      <c r="E120" s="225" t="s">
        <v>29</v>
      </c>
      <c r="F120" s="204">
        <f>F118-(3.14*2.5*2.5*5.5/27)-F119</f>
        <v>1.7589814814814817</v>
      </c>
      <c r="G120" s="205" t="s">
        <v>15</v>
      </c>
      <c r="H120" s="160">
        <f>H$81</f>
        <v>0</v>
      </c>
      <c r="I120" s="36">
        <f t="shared" ref="I120:I121" si="10">H120*F120</f>
        <v>0</v>
      </c>
      <c r="J120" s="26"/>
      <c r="K120" s="65"/>
    </row>
    <row r="121" spans="1:11" s="8" customFormat="1" x14ac:dyDescent="0.2">
      <c r="A121" s="25">
        <f>IF(F121&lt;&gt;"",1+MAX($A$6:A120),"")</f>
        <v>54</v>
      </c>
      <c r="B121" s="32" t="s">
        <v>110</v>
      </c>
      <c r="C121" s="33" t="s">
        <v>112</v>
      </c>
      <c r="D121" s="6"/>
      <c r="E121" s="132" t="s">
        <v>40</v>
      </c>
      <c r="F121" s="204">
        <f>(2*3.14*3*6)*1</f>
        <v>113.03999999999999</v>
      </c>
      <c r="G121" s="205" t="s">
        <v>31</v>
      </c>
      <c r="H121" s="160">
        <f>H$115</f>
        <v>0</v>
      </c>
      <c r="I121" s="36">
        <f t="shared" si="10"/>
        <v>0</v>
      </c>
      <c r="J121" s="26"/>
      <c r="K121" s="65"/>
    </row>
    <row r="122" spans="1:11" s="8" customFormat="1" x14ac:dyDescent="0.2">
      <c r="A122" s="25" t="str">
        <f>IF(F122&lt;&gt;"",1+MAX($A$6:A121),"")</f>
        <v/>
      </c>
      <c r="B122" s="32"/>
      <c r="C122" s="33"/>
      <c r="D122" s="6"/>
      <c r="E122" s="134" t="s">
        <v>166</v>
      </c>
      <c r="F122" s="204"/>
      <c r="G122" s="14"/>
      <c r="H122" s="161"/>
      <c r="I122" s="36"/>
      <c r="J122" s="26"/>
      <c r="K122" s="65"/>
    </row>
    <row r="123" spans="1:11" s="8" customFormat="1" x14ac:dyDescent="0.2">
      <c r="A123" s="25">
        <f>IF(F123&lt;&gt;"",1+MAX($A$6:A122),"")</f>
        <v>55</v>
      </c>
      <c r="B123" s="32" t="s">
        <v>110</v>
      </c>
      <c r="C123" s="33" t="s">
        <v>111</v>
      </c>
      <c r="D123" s="6"/>
      <c r="E123" s="135" t="s">
        <v>60</v>
      </c>
      <c r="F123" s="206">
        <v>2</v>
      </c>
      <c r="G123" s="205" t="s">
        <v>27</v>
      </c>
      <c r="H123" s="58">
        <v>0</v>
      </c>
      <c r="I123" s="36">
        <f t="shared" ref="I123:I129" si="11">H123*F123</f>
        <v>0</v>
      </c>
      <c r="J123" s="26"/>
      <c r="K123" s="65"/>
    </row>
    <row r="124" spans="1:11" s="8" customFormat="1" x14ac:dyDescent="0.2">
      <c r="A124" s="25">
        <f>IF(F124&lt;&gt;"",1+MAX($A$6:A123),"")</f>
        <v>56</v>
      </c>
      <c r="B124" s="32" t="s">
        <v>110</v>
      </c>
      <c r="C124" s="33" t="s">
        <v>111</v>
      </c>
      <c r="D124" s="6"/>
      <c r="E124" s="135" t="s">
        <v>41</v>
      </c>
      <c r="F124" s="206">
        <v>2</v>
      </c>
      <c r="G124" s="205" t="s">
        <v>27</v>
      </c>
      <c r="H124" s="58">
        <v>0</v>
      </c>
      <c r="I124" s="36">
        <f t="shared" si="11"/>
        <v>0</v>
      </c>
      <c r="J124" s="26"/>
      <c r="K124" s="65"/>
    </row>
    <row r="125" spans="1:11" s="8" customFormat="1" x14ac:dyDescent="0.2">
      <c r="A125" s="25">
        <f>IF(F125&lt;&gt;"",1+MAX($A$6:A124),"")</f>
        <v>57</v>
      </c>
      <c r="B125" s="32" t="s">
        <v>110</v>
      </c>
      <c r="C125" s="33" t="s">
        <v>111</v>
      </c>
      <c r="D125" s="6"/>
      <c r="E125" s="131" t="s">
        <v>172</v>
      </c>
      <c r="F125" s="204">
        <v>2.8</v>
      </c>
      <c r="G125" s="205" t="s">
        <v>32</v>
      </c>
      <c r="H125" s="160">
        <f>H$110</f>
        <v>0</v>
      </c>
      <c r="I125" s="36">
        <f t="shared" ref="I125" si="12">H125*F125</f>
        <v>0</v>
      </c>
      <c r="J125" s="26"/>
      <c r="K125" s="65"/>
    </row>
    <row r="126" spans="1:11" s="8" customFormat="1" ht="47.25" x14ac:dyDescent="0.2">
      <c r="A126" s="25">
        <f>IF(F126&lt;&gt;"",1+MAX($A$6:A125),"")</f>
        <v>58</v>
      </c>
      <c r="B126" s="32" t="s">
        <v>110</v>
      </c>
      <c r="C126" s="33" t="s">
        <v>111</v>
      </c>
      <c r="D126" s="6"/>
      <c r="E126" s="225" t="s">
        <v>168</v>
      </c>
      <c r="F126" s="204">
        <f>155*5.5/27</f>
        <v>31.574074074074073</v>
      </c>
      <c r="G126" s="205" t="s">
        <v>15</v>
      </c>
      <c r="H126" s="160">
        <f>H$80</f>
        <v>0</v>
      </c>
      <c r="I126" s="36">
        <f t="shared" si="11"/>
        <v>0</v>
      </c>
      <c r="J126" s="26"/>
      <c r="K126" s="65"/>
    </row>
    <row r="127" spans="1:11" s="8" customFormat="1" x14ac:dyDescent="0.2">
      <c r="A127" s="25">
        <f>IF(F127&lt;&gt;"",1+MAX($A$6:A126),"")</f>
        <v>59</v>
      </c>
      <c r="B127" s="32" t="s">
        <v>110</v>
      </c>
      <c r="C127" s="33" t="s">
        <v>111</v>
      </c>
      <c r="D127" s="6"/>
      <c r="E127" s="135" t="s">
        <v>59</v>
      </c>
      <c r="F127" s="206">
        <f>155*5/27-(16*7.82/27)</f>
        <v>24.069629629629627</v>
      </c>
      <c r="G127" s="205" t="s">
        <v>15</v>
      </c>
      <c r="H127" s="160">
        <f>H$112</f>
        <v>0</v>
      </c>
      <c r="I127" s="36">
        <f t="shared" ref="I127" si="13">H127*F127</f>
        <v>0</v>
      </c>
      <c r="J127" s="26"/>
      <c r="K127" s="65"/>
    </row>
    <row r="128" spans="1:11" s="8" customFormat="1" x14ac:dyDescent="0.2">
      <c r="A128" s="25">
        <f>IF(F128&lt;&gt;"",1+MAX($A$6:A127),"")</f>
        <v>60</v>
      </c>
      <c r="B128" s="32" t="s">
        <v>110</v>
      </c>
      <c r="C128" s="33" t="s">
        <v>111</v>
      </c>
      <c r="D128" s="6"/>
      <c r="E128" s="135" t="s">
        <v>43</v>
      </c>
      <c r="F128" s="206">
        <f>(155*2)+(50*5)</f>
        <v>560</v>
      </c>
      <c r="G128" s="205" t="s">
        <v>31</v>
      </c>
      <c r="H128" s="58">
        <v>0</v>
      </c>
      <c r="I128" s="36">
        <f t="shared" si="11"/>
        <v>0</v>
      </c>
      <c r="J128" s="26"/>
      <c r="K128" s="65"/>
    </row>
    <row r="129" spans="1:11" s="8" customFormat="1" x14ac:dyDescent="0.2">
      <c r="A129" s="25">
        <f>IF(F129&lt;&gt;"",1+MAX($A$6:A128),"")</f>
        <v>61</v>
      </c>
      <c r="B129" s="32" t="s">
        <v>110</v>
      </c>
      <c r="C129" s="33" t="s">
        <v>111</v>
      </c>
      <c r="D129" s="6"/>
      <c r="E129" s="225" t="s">
        <v>29</v>
      </c>
      <c r="F129" s="204">
        <f>155*0.5/27</f>
        <v>2.8703703703703702</v>
      </c>
      <c r="G129" s="205" t="s">
        <v>15</v>
      </c>
      <c r="H129" s="160">
        <f>H$81</f>
        <v>0</v>
      </c>
      <c r="I129" s="36">
        <f t="shared" si="11"/>
        <v>0</v>
      </c>
      <c r="J129" s="26"/>
      <c r="K129" s="65"/>
    </row>
    <row r="130" spans="1:11" s="8" customFormat="1" x14ac:dyDescent="0.2">
      <c r="A130" s="25" t="str">
        <f>IF(F130&lt;&gt;"",1+MAX($A$6:A129),"")</f>
        <v/>
      </c>
      <c r="B130" s="32"/>
      <c r="C130" s="33"/>
      <c r="D130" s="6"/>
      <c r="E130" s="134" t="s">
        <v>189</v>
      </c>
      <c r="F130" s="204"/>
      <c r="G130" s="14"/>
      <c r="H130" s="161"/>
      <c r="I130" s="36"/>
      <c r="J130" s="26"/>
      <c r="K130" s="65"/>
    </row>
    <row r="131" spans="1:11" s="8" customFormat="1" ht="31.5" x14ac:dyDescent="0.2">
      <c r="A131" s="25">
        <f>IF(F131&lt;&gt;"",1+MAX($A$6:A130),"")</f>
        <v>62</v>
      </c>
      <c r="B131" s="32" t="s">
        <v>110</v>
      </c>
      <c r="C131" s="33" t="s">
        <v>112</v>
      </c>
      <c r="D131" s="6"/>
      <c r="E131" s="135" t="s">
        <v>190</v>
      </c>
      <c r="F131" s="206">
        <v>10</v>
      </c>
      <c r="G131" s="205" t="s">
        <v>32</v>
      </c>
      <c r="H131" s="58">
        <v>0</v>
      </c>
      <c r="I131" s="36">
        <f t="shared" ref="I131:I132" si="14">H131*F131</f>
        <v>0</v>
      </c>
      <c r="J131" s="26"/>
      <c r="K131" s="65"/>
    </row>
    <row r="132" spans="1:11" s="8" customFormat="1" x14ac:dyDescent="0.2">
      <c r="A132" s="25">
        <f>IF(F132&lt;&gt;"",1+MAX($A$6:A131),"")</f>
        <v>63</v>
      </c>
      <c r="B132" s="32" t="s">
        <v>110</v>
      </c>
      <c r="C132" s="33" t="s">
        <v>112</v>
      </c>
      <c r="D132" s="78"/>
      <c r="E132" s="130" t="s">
        <v>28</v>
      </c>
      <c r="F132" s="204">
        <f>10*2.17*1.334/27</f>
        <v>1.0721407407407408</v>
      </c>
      <c r="G132" s="205" t="s">
        <v>15</v>
      </c>
      <c r="H132" s="160">
        <f>H$80</f>
        <v>0</v>
      </c>
      <c r="I132" s="36">
        <f t="shared" si="14"/>
        <v>0</v>
      </c>
      <c r="J132" s="26"/>
    </row>
    <row r="133" spans="1:11" s="8" customFormat="1" x14ac:dyDescent="0.2">
      <c r="A133" s="25">
        <f>IF(F133&lt;&gt;"",1+MAX($A$6:A132),"")</f>
        <v>64</v>
      </c>
      <c r="B133" s="32" t="s">
        <v>110</v>
      </c>
      <c r="C133" s="33" t="s">
        <v>112</v>
      </c>
      <c r="D133" s="7"/>
      <c r="E133" s="38" t="s">
        <v>181</v>
      </c>
      <c r="F133" s="35">
        <f>10*1.17*1.334/27</f>
        <v>0.57806666666666662</v>
      </c>
      <c r="G133" s="14" t="s">
        <v>15</v>
      </c>
      <c r="H133" s="160">
        <f>H$70</f>
        <v>0</v>
      </c>
      <c r="I133" s="36">
        <f>H133*F133</f>
        <v>0</v>
      </c>
      <c r="J133" s="26"/>
    </row>
    <row r="134" spans="1:11" s="8" customFormat="1" x14ac:dyDescent="0.2">
      <c r="A134" s="25">
        <f>IF(F134&lt;&gt;"",1+MAX($A$6:A133),"")</f>
        <v>65</v>
      </c>
      <c r="B134" s="32" t="s">
        <v>110</v>
      </c>
      <c r="C134" s="33" t="s">
        <v>112</v>
      </c>
      <c r="D134" s="6"/>
      <c r="E134" s="34" t="s">
        <v>38</v>
      </c>
      <c r="F134" s="35">
        <f>10*1.334*2</f>
        <v>26.68</v>
      </c>
      <c r="G134" s="14" t="s">
        <v>30</v>
      </c>
      <c r="H134" s="160">
        <f>H$79</f>
        <v>0</v>
      </c>
      <c r="I134" s="36">
        <f>H134*F134</f>
        <v>0</v>
      </c>
      <c r="J134" s="26"/>
      <c r="K134" s="65"/>
    </row>
    <row r="135" spans="1:11" s="8" customFormat="1" x14ac:dyDescent="0.2">
      <c r="A135" s="25" t="str">
        <f>IF(F135&lt;&gt;"",1+MAX($A$6:A134),"")</f>
        <v/>
      </c>
      <c r="B135" s="32"/>
      <c r="C135" s="33"/>
      <c r="D135" s="6"/>
      <c r="E135" s="134" t="s">
        <v>89</v>
      </c>
      <c r="F135" s="204"/>
      <c r="G135" s="14"/>
      <c r="H135" s="161"/>
      <c r="I135" s="36"/>
      <c r="J135" s="26"/>
      <c r="K135" s="65"/>
    </row>
    <row r="136" spans="1:11" s="8" customFormat="1" x14ac:dyDescent="0.2">
      <c r="A136" s="25">
        <f>IF(F136&lt;&gt;"",1+MAX($A$6:A135),"")</f>
        <v>66</v>
      </c>
      <c r="B136" s="32" t="s">
        <v>110</v>
      </c>
      <c r="C136" s="33" t="s">
        <v>111</v>
      </c>
      <c r="D136" s="6"/>
      <c r="E136" s="135" t="s">
        <v>178</v>
      </c>
      <c r="F136" s="206">
        <v>1</v>
      </c>
      <c r="G136" s="205" t="s">
        <v>27</v>
      </c>
      <c r="H136" s="58">
        <v>0</v>
      </c>
      <c r="I136" s="36">
        <f t="shared" ref="I136" si="15">H136*F136</f>
        <v>0</v>
      </c>
      <c r="J136" s="26"/>
      <c r="K136" s="65"/>
    </row>
    <row r="137" spans="1:11" s="8" customFormat="1" x14ac:dyDescent="0.2">
      <c r="A137" s="25">
        <f>IF(F137&lt;&gt;"",1+MAX($A$6:A136),"")</f>
        <v>67</v>
      </c>
      <c r="B137" s="32" t="s">
        <v>110</v>
      </c>
      <c r="C137" s="33" t="s">
        <v>111</v>
      </c>
      <c r="D137" s="6"/>
      <c r="E137" s="135" t="s">
        <v>179</v>
      </c>
      <c r="F137" s="206">
        <v>3</v>
      </c>
      <c r="G137" s="205" t="s">
        <v>53</v>
      </c>
      <c r="H137" s="58">
        <v>0</v>
      </c>
      <c r="I137" s="36">
        <f t="shared" ref="I137" si="16">H137*F137</f>
        <v>0</v>
      </c>
      <c r="J137" s="26"/>
      <c r="K137" s="65"/>
    </row>
    <row r="138" spans="1:11" s="22" customFormat="1" ht="16.5" thickBot="1" x14ac:dyDescent="0.25">
      <c r="A138" s="25" t="str">
        <f>IF(F138&lt;&gt;"",1+MAX($A$6:A137),"")</f>
        <v/>
      </c>
      <c r="B138" s="32"/>
      <c r="C138" s="33"/>
      <c r="D138" s="6"/>
      <c r="E138" s="139"/>
      <c r="F138" s="126"/>
      <c r="G138" s="127"/>
      <c r="H138" s="160"/>
      <c r="I138" s="128"/>
      <c r="J138" s="26"/>
      <c r="K138" s="129"/>
    </row>
    <row r="139" spans="1:11" s="8" customFormat="1" ht="16.5" thickBot="1" x14ac:dyDescent="0.25">
      <c r="A139" s="25" t="str">
        <f>IF(F139&lt;&gt;"",1+MAX($A$6:A138),"")</f>
        <v/>
      </c>
      <c r="B139" s="32"/>
      <c r="C139" s="33"/>
      <c r="D139" s="33"/>
      <c r="E139" s="138" t="s">
        <v>88</v>
      </c>
      <c r="F139" s="207"/>
      <c r="G139" s="14"/>
      <c r="H139" s="160"/>
      <c r="I139" s="36"/>
      <c r="J139" s="26"/>
      <c r="K139" s="65"/>
    </row>
    <row r="140" spans="1:11" s="8" customFormat="1" x14ac:dyDescent="0.2">
      <c r="A140" s="25" t="str">
        <f>IF(F140&lt;&gt;"",1+MAX($A$6:A139),"")</f>
        <v/>
      </c>
      <c r="B140" s="32"/>
      <c r="C140" s="33"/>
      <c r="D140" s="78"/>
      <c r="E140" s="137" t="s">
        <v>86</v>
      </c>
      <c r="F140" s="204"/>
      <c r="G140" s="14"/>
      <c r="H140" s="160"/>
      <c r="I140" s="36"/>
      <c r="J140" s="26"/>
    </row>
    <row r="141" spans="1:11" s="22" customFormat="1" x14ac:dyDescent="0.2">
      <c r="A141" s="25">
        <f>IF(F141&lt;&gt;"",1+MAX($A$6:A140),"")</f>
        <v>68</v>
      </c>
      <c r="B141" s="32" t="s">
        <v>110</v>
      </c>
      <c r="C141" s="33" t="s">
        <v>112</v>
      </c>
      <c r="D141" s="6"/>
      <c r="E141" s="131" t="s">
        <v>162</v>
      </c>
      <c r="F141" s="204">
        <v>42</v>
      </c>
      <c r="G141" s="205" t="s">
        <v>32</v>
      </c>
      <c r="H141" s="160">
        <f>H$110</f>
        <v>0</v>
      </c>
      <c r="I141" s="36">
        <f t="shared" ref="I141:I146" si="17">H141*F141</f>
        <v>0</v>
      </c>
      <c r="J141" s="26"/>
      <c r="K141" s="129"/>
    </row>
    <row r="142" spans="1:11" s="8" customFormat="1" ht="47.25" x14ac:dyDescent="0.2">
      <c r="A142" s="25">
        <f>IF(F142&lt;&gt;"",1+MAX($A$6:A141),"")</f>
        <v>69</v>
      </c>
      <c r="B142" s="32" t="s">
        <v>110</v>
      </c>
      <c r="C142" s="33" t="s">
        <v>112</v>
      </c>
      <c r="D142" s="78"/>
      <c r="E142" s="225" t="s">
        <v>165</v>
      </c>
      <c r="F142" s="204">
        <f>(42*3.665*8/27)</f>
        <v>45.608888888888892</v>
      </c>
      <c r="G142" s="205" t="s">
        <v>15</v>
      </c>
      <c r="H142" s="160">
        <f>H$80</f>
        <v>0</v>
      </c>
      <c r="I142" s="36">
        <f t="shared" si="17"/>
        <v>0</v>
      </c>
      <c r="J142" s="26"/>
    </row>
    <row r="143" spans="1:11" s="22" customFormat="1" x14ac:dyDescent="0.2">
      <c r="A143" s="25">
        <f>IF(F143&lt;&gt;"",1+MAX($A$6:A142),"")</f>
        <v>70</v>
      </c>
      <c r="B143" s="32" t="s">
        <v>110</v>
      </c>
      <c r="C143" s="33" t="s">
        <v>112</v>
      </c>
      <c r="D143" s="6"/>
      <c r="E143" s="132" t="s">
        <v>163</v>
      </c>
      <c r="F143" s="204">
        <f>(42*3.665*1.5/27)</f>
        <v>8.5516666666666676</v>
      </c>
      <c r="G143" s="205" t="s">
        <v>15</v>
      </c>
      <c r="H143" s="160">
        <f>H$112</f>
        <v>0</v>
      </c>
      <c r="I143" s="36">
        <f t="shared" si="17"/>
        <v>0</v>
      </c>
      <c r="J143" s="26"/>
      <c r="K143" s="129"/>
    </row>
    <row r="144" spans="1:11" s="22" customFormat="1" x14ac:dyDescent="0.2">
      <c r="A144" s="25">
        <f>IF(F144&lt;&gt;"",1+MAX($A$6:A143),"")</f>
        <v>71</v>
      </c>
      <c r="B144" s="32" t="s">
        <v>110</v>
      </c>
      <c r="C144" s="33" t="s">
        <v>112</v>
      </c>
      <c r="D144" s="6"/>
      <c r="E144" s="132" t="s">
        <v>164</v>
      </c>
      <c r="F144" s="204">
        <f>F142-F143</f>
        <v>37.057222222222222</v>
      </c>
      <c r="G144" s="205" t="s">
        <v>15</v>
      </c>
      <c r="H144" s="160">
        <f>H$112</f>
        <v>0</v>
      </c>
      <c r="I144" s="36">
        <f t="shared" ref="I144" si="18">H144*F144</f>
        <v>0</v>
      </c>
      <c r="J144" s="26"/>
      <c r="K144" s="129"/>
    </row>
    <row r="145" spans="1:11" s="8" customFormat="1" x14ac:dyDescent="0.2">
      <c r="A145" s="25">
        <f>IF(F145&lt;&gt;"",1+MAX($A$6:A144),"")</f>
        <v>72</v>
      </c>
      <c r="B145" s="32" t="s">
        <v>110</v>
      </c>
      <c r="C145" s="33" t="s">
        <v>112</v>
      </c>
      <c r="D145" s="78"/>
      <c r="E145" s="131" t="s">
        <v>56</v>
      </c>
      <c r="F145" s="204">
        <v>42</v>
      </c>
      <c r="G145" s="205" t="s">
        <v>32</v>
      </c>
      <c r="H145" s="160">
        <f>H$114</f>
        <v>0</v>
      </c>
      <c r="I145" s="36">
        <f t="shared" si="17"/>
        <v>0</v>
      </c>
      <c r="J145" s="26"/>
    </row>
    <row r="146" spans="1:11" s="8" customFormat="1" x14ac:dyDescent="0.2">
      <c r="A146" s="25">
        <f>IF(F146&lt;&gt;"",1+MAX($A$6:A145),"")</f>
        <v>73</v>
      </c>
      <c r="B146" s="32" t="s">
        <v>110</v>
      </c>
      <c r="C146" s="33" t="s">
        <v>112</v>
      </c>
      <c r="D146" s="78"/>
      <c r="E146" s="132" t="s">
        <v>39</v>
      </c>
      <c r="F146" s="204">
        <f>42*8*2</f>
        <v>672</v>
      </c>
      <c r="G146" s="205" t="s">
        <v>31</v>
      </c>
      <c r="H146" s="160">
        <f>H$115</f>
        <v>0</v>
      </c>
      <c r="I146" s="36">
        <f t="shared" si="17"/>
        <v>0</v>
      </c>
      <c r="J146" s="26"/>
    </row>
    <row r="147" spans="1:11" s="8" customFormat="1" x14ac:dyDescent="0.2">
      <c r="A147" s="25" t="str">
        <f>IF(F147&lt;&gt;"",1+MAX($A$6:A146),"")</f>
        <v/>
      </c>
      <c r="B147" s="32"/>
      <c r="C147" s="33"/>
      <c r="D147" s="6"/>
      <c r="E147" s="134" t="s">
        <v>89</v>
      </c>
      <c r="F147" s="204"/>
      <c r="G147" s="14"/>
      <c r="H147" s="161"/>
      <c r="I147" s="36"/>
      <c r="J147" s="26"/>
      <c r="K147" s="65"/>
    </row>
    <row r="148" spans="1:11" s="8" customFormat="1" ht="47.25" x14ac:dyDescent="0.2">
      <c r="A148" s="25">
        <f>IF(F148&lt;&gt;"",1+MAX($A$6:A147),"")</f>
        <v>74</v>
      </c>
      <c r="B148" s="32" t="s">
        <v>110</v>
      </c>
      <c r="C148" s="33" t="s">
        <v>111</v>
      </c>
      <c r="D148" s="6"/>
      <c r="E148" s="135" t="s">
        <v>167</v>
      </c>
      <c r="F148" s="206">
        <v>1</v>
      </c>
      <c r="G148" s="205" t="s">
        <v>27</v>
      </c>
      <c r="H148" s="58">
        <v>0</v>
      </c>
      <c r="I148" s="36">
        <f t="shared" ref="I148" si="19">H148*F148</f>
        <v>0</v>
      </c>
      <c r="J148" s="26"/>
      <c r="K148" s="65"/>
    </row>
    <row r="149" spans="1:11" s="8" customFormat="1" ht="16.5" thickBot="1" x14ac:dyDescent="0.25">
      <c r="A149" s="25" t="str">
        <f>IF(F149&lt;&gt;"",1+MAX($A$6:A148),"")</f>
        <v/>
      </c>
      <c r="B149" s="32"/>
      <c r="C149" s="33"/>
      <c r="D149" s="78"/>
      <c r="E149" s="135"/>
      <c r="F149" s="206"/>
      <c r="G149" s="14"/>
      <c r="H149" s="160"/>
      <c r="I149" s="36"/>
      <c r="J149" s="26"/>
      <c r="K149" s="65"/>
    </row>
    <row r="150" spans="1:11" s="8" customFormat="1" ht="16.5" thickBot="1" x14ac:dyDescent="0.25">
      <c r="A150" s="25" t="str">
        <f>IF(F150&lt;&gt;"",1+MAX($A$6:A149),"")</f>
        <v/>
      </c>
      <c r="B150" s="32"/>
      <c r="C150" s="33"/>
      <c r="D150" s="78"/>
      <c r="E150" s="138" t="s">
        <v>90</v>
      </c>
      <c r="F150" s="204"/>
      <c r="G150" s="14"/>
      <c r="H150" s="160"/>
      <c r="I150" s="36"/>
      <c r="J150" s="26"/>
    </row>
    <row r="151" spans="1:11" s="8" customFormat="1" x14ac:dyDescent="0.2">
      <c r="A151" s="25" t="str">
        <f>IF(F151&lt;&gt;"",1+MAX($A$6:A150),"")</f>
        <v/>
      </c>
      <c r="B151" s="32"/>
      <c r="C151" s="33"/>
      <c r="D151" s="78"/>
      <c r="E151" s="134" t="s">
        <v>86</v>
      </c>
      <c r="F151" s="204"/>
      <c r="G151" s="14"/>
      <c r="H151" s="160"/>
      <c r="I151" s="36"/>
      <c r="J151" s="26"/>
    </row>
    <row r="152" spans="1:11" s="8" customFormat="1" ht="31.5" x14ac:dyDescent="0.2">
      <c r="A152" s="25">
        <f>IF(F152&lt;&gt;"",1+MAX($A$6:A151),"")</f>
        <v>75</v>
      </c>
      <c r="B152" s="32" t="s">
        <v>110</v>
      </c>
      <c r="C152" s="33" t="s">
        <v>112</v>
      </c>
      <c r="D152" s="78"/>
      <c r="E152" s="131" t="s">
        <v>156</v>
      </c>
      <c r="F152" s="204">
        <v>53</v>
      </c>
      <c r="G152" s="205" t="s">
        <v>32</v>
      </c>
      <c r="H152" s="58">
        <v>0</v>
      </c>
      <c r="I152" s="36">
        <f t="shared" ref="I152:I155" si="20">H152*F152</f>
        <v>0</v>
      </c>
      <c r="J152" s="26"/>
    </row>
    <row r="153" spans="1:11" s="8" customFormat="1" ht="47.25" x14ac:dyDescent="0.2">
      <c r="A153" s="25">
        <f>IF(F153&lt;&gt;"",1+MAX($A$6:A152),"")</f>
        <v>76</v>
      </c>
      <c r="B153" s="32" t="s">
        <v>110</v>
      </c>
      <c r="C153" s="33" t="s">
        <v>112</v>
      </c>
      <c r="D153" s="78"/>
      <c r="E153" s="130" t="s">
        <v>158</v>
      </c>
      <c r="F153" s="204">
        <f>(53*3*4/27)</f>
        <v>23.555555555555557</v>
      </c>
      <c r="G153" s="205" t="s">
        <v>15</v>
      </c>
      <c r="H153" s="160">
        <f>H$80</f>
        <v>0</v>
      </c>
      <c r="I153" s="36">
        <f t="shared" si="20"/>
        <v>0</v>
      </c>
      <c r="J153" s="26"/>
    </row>
    <row r="154" spans="1:11" s="8" customFormat="1" x14ac:dyDescent="0.2">
      <c r="A154" s="25">
        <f>IF(F154&lt;&gt;"",1+MAX($A$6:A153),"")</f>
        <v>77</v>
      </c>
      <c r="B154" s="32" t="s">
        <v>110</v>
      </c>
      <c r="C154" s="33" t="s">
        <v>112</v>
      </c>
      <c r="D154" s="78"/>
      <c r="E154" s="131" t="s">
        <v>56</v>
      </c>
      <c r="F154" s="204">
        <v>36.119999999999997</v>
      </c>
      <c r="G154" s="205" t="s">
        <v>32</v>
      </c>
      <c r="H154" s="160">
        <f>H$114</f>
        <v>0</v>
      </c>
      <c r="I154" s="36">
        <f t="shared" si="20"/>
        <v>0</v>
      </c>
      <c r="J154" s="26"/>
    </row>
    <row r="155" spans="1:11" s="8" customFormat="1" x14ac:dyDescent="0.2">
      <c r="A155" s="25">
        <f>IF(F155&lt;&gt;"",1+MAX($A$6:A154),"")</f>
        <v>78</v>
      </c>
      <c r="B155" s="32" t="s">
        <v>110</v>
      </c>
      <c r="C155" s="33" t="s">
        <v>112</v>
      </c>
      <c r="D155" s="78"/>
      <c r="E155" s="132" t="s">
        <v>57</v>
      </c>
      <c r="F155" s="204">
        <f>(53*3*1.083/27)</f>
        <v>6.3776666666666664</v>
      </c>
      <c r="G155" s="205" t="s">
        <v>15</v>
      </c>
      <c r="H155" s="160">
        <f>H$112</f>
        <v>0</v>
      </c>
      <c r="I155" s="36">
        <f t="shared" si="20"/>
        <v>0</v>
      </c>
      <c r="J155" s="26"/>
    </row>
    <row r="156" spans="1:11" s="8" customFormat="1" x14ac:dyDescent="0.2">
      <c r="A156" s="25">
        <f>IF(F156&lt;&gt;"",1+MAX($A$6:A155),"")</f>
        <v>79</v>
      </c>
      <c r="B156" s="32" t="s">
        <v>110</v>
      </c>
      <c r="C156" s="33" t="s">
        <v>112</v>
      </c>
      <c r="D156" s="78"/>
      <c r="E156" s="130" t="s">
        <v>29</v>
      </c>
      <c r="F156" s="204">
        <f>F153-F155</f>
        <v>17.177888888888891</v>
      </c>
      <c r="G156" s="205" t="s">
        <v>15</v>
      </c>
      <c r="H156" s="160">
        <f>H$81</f>
        <v>0</v>
      </c>
      <c r="I156" s="36">
        <f t="shared" ref="I156:I157" si="21">H156*F156</f>
        <v>0</v>
      </c>
      <c r="J156" s="26"/>
    </row>
    <row r="157" spans="1:11" s="8" customFormat="1" x14ac:dyDescent="0.2">
      <c r="A157" s="25">
        <f>IF(F157&lt;&gt;"",1+MAX($A$6:A156),"")</f>
        <v>80</v>
      </c>
      <c r="B157" s="32" t="s">
        <v>110</v>
      </c>
      <c r="C157" s="33" t="s">
        <v>112</v>
      </c>
      <c r="D157" s="6"/>
      <c r="E157" s="132" t="s">
        <v>159</v>
      </c>
      <c r="F157" s="204">
        <f>105*5.5</f>
        <v>577.5</v>
      </c>
      <c r="G157" s="205" t="s">
        <v>31</v>
      </c>
      <c r="H157" s="160">
        <f>H$115</f>
        <v>0</v>
      </c>
      <c r="I157" s="36">
        <f t="shared" si="21"/>
        <v>0</v>
      </c>
      <c r="J157" s="26"/>
      <c r="K157" s="65"/>
    </row>
    <row r="158" spans="1:11" s="8" customFormat="1" x14ac:dyDescent="0.2">
      <c r="A158" s="25" t="str">
        <f>IF(F158&lt;&gt;"",1+MAX($A$6:A157),"")</f>
        <v/>
      </c>
      <c r="B158" s="32"/>
      <c r="C158" s="33"/>
      <c r="D158" s="78"/>
      <c r="E158" s="131"/>
      <c r="F158" s="204"/>
      <c r="G158" s="205"/>
      <c r="H158" s="160"/>
      <c r="I158" s="36"/>
      <c r="J158" s="26"/>
    </row>
    <row r="159" spans="1:11" s="8" customFormat="1" x14ac:dyDescent="0.2">
      <c r="A159" s="25" t="str">
        <f>IF(F159&lt;&gt;"",1+MAX($A$6:A158),"")</f>
        <v/>
      </c>
      <c r="B159" s="32"/>
      <c r="C159" s="33"/>
      <c r="D159" s="6"/>
      <c r="E159" s="134" t="s">
        <v>89</v>
      </c>
      <c r="F159" s="204"/>
      <c r="G159" s="14"/>
      <c r="H159" s="161"/>
      <c r="I159" s="36"/>
      <c r="J159" s="26"/>
      <c r="K159" s="65"/>
    </row>
    <row r="160" spans="1:11" s="8" customFormat="1" x14ac:dyDescent="0.2">
      <c r="A160" s="25">
        <f>IF(F160&lt;&gt;"",1+MAX($A$6:A159),"")</f>
        <v>81</v>
      </c>
      <c r="B160" s="32" t="s">
        <v>110</v>
      </c>
      <c r="C160" s="33"/>
      <c r="D160" s="6"/>
      <c r="E160" s="135" t="s">
        <v>157</v>
      </c>
      <c r="F160" s="206">
        <v>1</v>
      </c>
      <c r="G160" s="205" t="s">
        <v>27</v>
      </c>
      <c r="H160" s="58">
        <v>0</v>
      </c>
      <c r="I160" s="36">
        <f t="shared" ref="I160" si="22">H160*F160</f>
        <v>0</v>
      </c>
      <c r="J160" s="26"/>
      <c r="K160" s="65"/>
    </row>
    <row r="161" spans="1:11" s="8" customFormat="1" ht="47.25" x14ac:dyDescent="0.2">
      <c r="A161" s="25">
        <f>IF(F161&lt;&gt;"",1+MAX($A$6:A160),"")</f>
        <v>82</v>
      </c>
      <c r="B161" s="32" t="s">
        <v>110</v>
      </c>
      <c r="C161" s="33" t="s">
        <v>112</v>
      </c>
      <c r="D161" s="6"/>
      <c r="E161" s="135" t="s">
        <v>160</v>
      </c>
      <c r="F161" s="206">
        <v>1</v>
      </c>
      <c r="G161" s="205" t="s">
        <v>27</v>
      </c>
      <c r="H161" s="58">
        <v>0</v>
      </c>
      <c r="I161" s="36">
        <f t="shared" ref="I161" si="23">H161*F161</f>
        <v>0</v>
      </c>
      <c r="J161" s="26"/>
      <c r="K161" s="65"/>
    </row>
    <row r="162" spans="1:11" s="8" customFormat="1" x14ac:dyDescent="0.2">
      <c r="A162" s="25">
        <f>IF(F162&lt;&gt;"",1+MAX($A$6:A161),"")</f>
        <v>83</v>
      </c>
      <c r="B162" s="32" t="s">
        <v>110</v>
      </c>
      <c r="C162" s="33" t="s">
        <v>112</v>
      </c>
      <c r="D162" s="6"/>
      <c r="E162" s="135" t="s">
        <v>161</v>
      </c>
      <c r="F162" s="206">
        <v>1</v>
      </c>
      <c r="G162" s="205" t="s">
        <v>27</v>
      </c>
      <c r="H162" s="58">
        <v>0</v>
      </c>
      <c r="I162" s="36">
        <f t="shared" ref="I162" si="24">H162*F162</f>
        <v>0</v>
      </c>
      <c r="J162" s="26"/>
      <c r="K162" s="65"/>
    </row>
    <row r="163" spans="1:11" s="8" customFormat="1" x14ac:dyDescent="0.2">
      <c r="A163" s="25">
        <f>IF(F163&lt;&gt;"",1+MAX($A$6:A162),"")</f>
        <v>84</v>
      </c>
      <c r="B163" s="32" t="s">
        <v>110</v>
      </c>
      <c r="C163" s="33" t="s">
        <v>112</v>
      </c>
      <c r="D163" s="6"/>
      <c r="E163" s="135" t="s">
        <v>61</v>
      </c>
      <c r="F163" s="206">
        <v>2</v>
      </c>
      <c r="G163" s="205" t="s">
        <v>27</v>
      </c>
      <c r="H163" s="58">
        <v>0</v>
      </c>
      <c r="I163" s="36">
        <f t="shared" ref="I163" si="25">H163*F163</f>
        <v>0</v>
      </c>
      <c r="J163" s="26"/>
      <c r="K163" s="65"/>
    </row>
    <row r="164" spans="1:11" s="8" customFormat="1" x14ac:dyDescent="0.2">
      <c r="A164" s="25">
        <f>IF(F164&lt;&gt;"",1+MAX($A$6:A163),"")</f>
        <v>85</v>
      </c>
      <c r="B164" s="32" t="s">
        <v>110</v>
      </c>
      <c r="C164" s="33"/>
      <c r="D164" s="6"/>
      <c r="E164" s="132" t="s">
        <v>62</v>
      </c>
      <c r="F164" s="206">
        <v>1</v>
      </c>
      <c r="G164" s="205" t="s">
        <v>55</v>
      </c>
      <c r="H164" s="58">
        <v>0</v>
      </c>
      <c r="I164" s="36">
        <f t="shared" ref="I164" si="26">H164*F164</f>
        <v>0</v>
      </c>
      <c r="J164" s="26"/>
      <c r="K164" s="65"/>
    </row>
    <row r="165" spans="1:11" s="8" customFormat="1" ht="16.5" thickBot="1" x14ac:dyDescent="0.25">
      <c r="A165" s="25" t="str">
        <f>IF(F165&lt;&gt;"",1+MAX($A$6:A164),"")</f>
        <v/>
      </c>
      <c r="B165" s="32"/>
      <c r="C165" s="33"/>
      <c r="D165" s="78"/>
      <c r="E165" s="135"/>
      <c r="F165" s="206"/>
      <c r="G165" s="14"/>
      <c r="H165" s="160"/>
      <c r="I165" s="36"/>
      <c r="J165" s="26"/>
    </row>
    <row r="166" spans="1:11" s="8" customFormat="1" ht="16.5" thickBot="1" x14ac:dyDescent="0.25">
      <c r="A166" s="25" t="str">
        <f>IF(F166&lt;&gt;"",1+MAX($A$6:A165),"")</f>
        <v/>
      </c>
      <c r="B166" s="32"/>
      <c r="C166" s="33"/>
      <c r="D166" s="78"/>
      <c r="E166" s="138" t="s">
        <v>91</v>
      </c>
      <c r="F166" s="204"/>
      <c r="G166" s="14"/>
      <c r="H166" s="160"/>
      <c r="I166" s="36"/>
      <c r="J166" s="26"/>
    </row>
    <row r="167" spans="1:11" s="8" customFormat="1" x14ac:dyDescent="0.2">
      <c r="A167" s="25" t="str">
        <f>IF(F167&lt;&gt;"",1+MAX($A$6:A166),"")</f>
        <v/>
      </c>
      <c r="B167" s="32"/>
      <c r="C167" s="33"/>
      <c r="D167" s="78"/>
      <c r="E167" s="134" t="s">
        <v>86</v>
      </c>
      <c r="F167" s="204"/>
      <c r="G167" s="14"/>
      <c r="H167" s="160"/>
      <c r="I167" s="36"/>
      <c r="J167" s="26"/>
    </row>
    <row r="168" spans="1:11" s="8" customFormat="1" ht="31.5" x14ac:dyDescent="0.2">
      <c r="A168" s="25">
        <f>IF(F168&lt;&gt;"",1+MAX($A$6:A167),"")</f>
        <v>86</v>
      </c>
      <c r="B168" s="32" t="s">
        <v>110</v>
      </c>
      <c r="C168" s="33"/>
      <c r="D168" s="78"/>
      <c r="E168" s="131" t="s">
        <v>54</v>
      </c>
      <c r="F168" s="204">
        <v>39</v>
      </c>
      <c r="G168" s="205" t="s">
        <v>32</v>
      </c>
      <c r="H168" s="58">
        <v>0</v>
      </c>
      <c r="I168" s="36">
        <f t="shared" ref="I168:I172" si="27">H168*F168</f>
        <v>0</v>
      </c>
      <c r="J168" s="26"/>
    </row>
    <row r="169" spans="1:11" s="8" customFormat="1" ht="47.25" x14ac:dyDescent="0.2">
      <c r="A169" s="25">
        <f>IF(F169&lt;&gt;"",1+MAX($A$6:A168),"")</f>
        <v>87</v>
      </c>
      <c r="B169" s="32" t="s">
        <v>110</v>
      </c>
      <c r="C169" s="33"/>
      <c r="D169" s="78"/>
      <c r="E169" s="130" t="s">
        <v>169</v>
      </c>
      <c r="F169" s="204">
        <f>39*3*4/27</f>
        <v>17.333333333333332</v>
      </c>
      <c r="G169" s="205" t="s">
        <v>15</v>
      </c>
      <c r="H169" s="160">
        <f>H$80</f>
        <v>0</v>
      </c>
      <c r="I169" s="36">
        <f t="shared" si="27"/>
        <v>0</v>
      </c>
      <c r="J169" s="26"/>
    </row>
    <row r="170" spans="1:11" s="8" customFormat="1" x14ac:dyDescent="0.2">
      <c r="A170" s="25">
        <f>IF(F170&lt;&gt;"",1+MAX($A$6:A169),"")</f>
        <v>88</v>
      </c>
      <c r="B170" s="32" t="s">
        <v>110</v>
      </c>
      <c r="C170" s="33"/>
      <c r="D170" s="78"/>
      <c r="E170" s="131" t="s">
        <v>56</v>
      </c>
      <c r="F170" s="204">
        <v>39</v>
      </c>
      <c r="G170" s="205" t="s">
        <v>32</v>
      </c>
      <c r="H170" s="160">
        <f>H$114</f>
        <v>0</v>
      </c>
      <c r="I170" s="36">
        <f t="shared" si="27"/>
        <v>0</v>
      </c>
      <c r="J170" s="26"/>
    </row>
    <row r="171" spans="1:11" s="8" customFormat="1" x14ac:dyDescent="0.2">
      <c r="A171" s="25">
        <f>IF(F171&lt;&gt;"",1+MAX($A$6:A170),"")</f>
        <v>89</v>
      </c>
      <c r="B171" s="32" t="s">
        <v>110</v>
      </c>
      <c r="C171" s="33"/>
      <c r="D171" s="78"/>
      <c r="E171" s="132" t="s">
        <v>57</v>
      </c>
      <c r="F171" s="204">
        <f>39*3*1.25/27</f>
        <v>5.416666666666667</v>
      </c>
      <c r="G171" s="205" t="s">
        <v>15</v>
      </c>
      <c r="H171" s="160">
        <f>H$112</f>
        <v>0</v>
      </c>
      <c r="I171" s="36">
        <f t="shared" si="27"/>
        <v>0</v>
      </c>
      <c r="J171" s="26"/>
    </row>
    <row r="172" spans="1:11" s="8" customFormat="1" x14ac:dyDescent="0.2">
      <c r="A172" s="25">
        <f>IF(F172&lt;&gt;"",1+MAX($A$6:A171),"")</f>
        <v>90</v>
      </c>
      <c r="B172" s="32" t="s">
        <v>110</v>
      </c>
      <c r="C172" s="33"/>
      <c r="D172" s="78"/>
      <c r="E172" s="130" t="s">
        <v>29</v>
      </c>
      <c r="F172" s="204">
        <f>F169-F171</f>
        <v>11.916666666666664</v>
      </c>
      <c r="G172" s="205" t="s">
        <v>15</v>
      </c>
      <c r="H172" s="160">
        <f>H$81</f>
        <v>0</v>
      </c>
      <c r="I172" s="36">
        <f t="shared" si="27"/>
        <v>0</v>
      </c>
      <c r="J172" s="26"/>
    </row>
    <row r="173" spans="1:11" s="8" customFormat="1" x14ac:dyDescent="0.2">
      <c r="A173" s="25" t="str">
        <f>IF(F173&lt;&gt;"",1+MAX($A$6:A172),"")</f>
        <v/>
      </c>
      <c r="B173" s="32" t="s">
        <v>110</v>
      </c>
      <c r="C173" s="33"/>
      <c r="D173" s="6"/>
      <c r="E173" s="134" t="s">
        <v>89</v>
      </c>
      <c r="F173" s="204"/>
      <c r="G173" s="14"/>
      <c r="H173" s="161"/>
      <c r="I173" s="36"/>
      <c r="J173" s="26"/>
      <c r="K173" s="65"/>
    </row>
    <row r="174" spans="1:11" s="8" customFormat="1" x14ac:dyDescent="0.2">
      <c r="A174" s="25">
        <f>IF(F174&lt;&gt;"",1+MAX($A$6:A173),"")</f>
        <v>91</v>
      </c>
      <c r="B174" s="32" t="s">
        <v>110</v>
      </c>
      <c r="C174" s="33"/>
      <c r="D174" s="6"/>
      <c r="E174" s="135" t="s">
        <v>170</v>
      </c>
      <c r="F174" s="206">
        <v>1</v>
      </c>
      <c r="G174" s="205" t="s">
        <v>27</v>
      </c>
      <c r="H174" s="58">
        <v>0</v>
      </c>
      <c r="I174" s="36">
        <f t="shared" ref="I174:I175" si="28">H174*F174</f>
        <v>0</v>
      </c>
      <c r="J174" s="26"/>
      <c r="K174" s="65"/>
    </row>
    <row r="175" spans="1:11" s="8" customFormat="1" x14ac:dyDescent="0.2">
      <c r="A175" s="25">
        <f>IF(F175&lt;&gt;"",1+MAX($A$6:A174),"")</f>
        <v>92</v>
      </c>
      <c r="B175" s="32" t="s">
        <v>110</v>
      </c>
      <c r="C175" s="33"/>
      <c r="D175" s="6"/>
      <c r="E175" s="132" t="s">
        <v>58</v>
      </c>
      <c r="F175" s="206">
        <v>1</v>
      </c>
      <c r="G175" s="205" t="s">
        <v>55</v>
      </c>
      <c r="H175" s="58">
        <v>0</v>
      </c>
      <c r="I175" s="36">
        <f t="shared" si="28"/>
        <v>0</v>
      </c>
      <c r="J175" s="26"/>
      <c r="K175" s="65"/>
    </row>
    <row r="176" spans="1:11" s="8" customFormat="1" ht="16.5" thickBot="1" x14ac:dyDescent="0.25">
      <c r="A176" s="25" t="str">
        <f>IF(F176&lt;&gt;"",1+MAX($A$6:A175),"")</f>
        <v/>
      </c>
      <c r="B176" s="32"/>
      <c r="C176" s="33"/>
      <c r="D176" s="7"/>
      <c r="E176" s="95"/>
      <c r="F176" s="9"/>
      <c r="G176" s="10"/>
      <c r="H176" s="11"/>
      <c r="I176" s="40"/>
      <c r="J176" s="41"/>
    </row>
    <row r="177" spans="1:11" s="8" customFormat="1" ht="16.5" thickBot="1" x14ac:dyDescent="0.25">
      <c r="A177" s="25" t="str">
        <f>IF(F177&lt;&gt;"",1+MAX($A$6:A176),"")</f>
        <v/>
      </c>
      <c r="B177" s="6"/>
      <c r="C177" s="6"/>
      <c r="D177" s="12"/>
      <c r="E177" s="66" t="s">
        <v>92</v>
      </c>
      <c r="F177" s="13"/>
      <c r="G177" s="14"/>
      <c r="H177" s="15"/>
      <c r="I177" s="2"/>
      <c r="J177" s="5">
        <f>SUM(I106:I176)</f>
        <v>0</v>
      </c>
      <c r="K177" s="63"/>
    </row>
    <row r="178" spans="1:11" s="8" customFormat="1" ht="19.5" thickBot="1" x14ac:dyDescent="0.25">
      <c r="A178" s="25" t="str">
        <f>IF(F178&lt;&gt;"",1+MAX($A$6:A177),"")</f>
        <v/>
      </c>
      <c r="B178" s="6"/>
      <c r="C178" s="6"/>
      <c r="D178" s="12"/>
      <c r="E178" s="119"/>
      <c r="F178" s="120"/>
      <c r="G178" s="14"/>
      <c r="H178" s="15"/>
      <c r="I178" s="3"/>
      <c r="J178" s="43"/>
    </row>
    <row r="179" spans="1:11" s="8" customFormat="1" ht="16.5" thickBot="1" x14ac:dyDescent="0.25">
      <c r="A179" s="25" t="str">
        <f>IF(F179&lt;&gt;"",1+MAX($A$6:A178),"")</f>
        <v/>
      </c>
      <c r="B179" s="32"/>
      <c r="C179" s="39"/>
      <c r="D179" s="28"/>
      <c r="E179" s="121" t="s">
        <v>93</v>
      </c>
      <c r="F179" s="94"/>
      <c r="G179" s="30"/>
      <c r="H179" s="4"/>
      <c r="I179" s="31"/>
      <c r="J179" s="26"/>
    </row>
    <row r="180" spans="1:11" s="8" customFormat="1" x14ac:dyDescent="0.2">
      <c r="A180" s="25" t="str">
        <f>IF(F180&lt;&gt;"",1+MAX($A$6:A179),"")</f>
        <v/>
      </c>
      <c r="B180" s="32"/>
      <c r="C180" s="33"/>
      <c r="D180" s="6"/>
      <c r="E180" s="106" t="s">
        <v>96</v>
      </c>
      <c r="F180" s="35"/>
      <c r="G180" s="14"/>
      <c r="H180" s="161"/>
      <c r="I180" s="36"/>
      <c r="J180" s="26"/>
      <c r="K180" s="65"/>
    </row>
    <row r="181" spans="1:11" s="8" customFormat="1" ht="47.25" x14ac:dyDescent="0.2">
      <c r="A181" s="25">
        <f>IF(F181&lt;&gt;"",1+MAX($A$6:A180),"")</f>
        <v>93</v>
      </c>
      <c r="B181" s="32" t="s">
        <v>121</v>
      </c>
      <c r="C181" s="33" t="s">
        <v>148</v>
      </c>
      <c r="D181" s="78"/>
      <c r="E181" s="38" t="s">
        <v>97</v>
      </c>
      <c r="F181" s="35">
        <v>9</v>
      </c>
      <c r="G181" s="14" t="s">
        <v>27</v>
      </c>
      <c r="H181" s="58">
        <v>0</v>
      </c>
      <c r="I181" s="36">
        <f>H181*F181</f>
        <v>0</v>
      </c>
      <c r="J181" s="26"/>
    </row>
    <row r="182" spans="1:11" s="8" customFormat="1" ht="47.25" x14ac:dyDescent="0.2">
      <c r="A182" s="25">
        <f>IF(F182&lt;&gt;"",1+MAX($A$6:A181),"")</f>
        <v>94</v>
      </c>
      <c r="B182" s="32" t="s">
        <v>121</v>
      </c>
      <c r="C182" s="33" t="s">
        <v>148</v>
      </c>
      <c r="D182" s="78"/>
      <c r="E182" s="38" t="s">
        <v>99</v>
      </c>
      <c r="F182" s="35">
        <v>14</v>
      </c>
      <c r="G182" s="14" t="s">
        <v>27</v>
      </c>
      <c r="H182" s="58">
        <v>0</v>
      </c>
      <c r="I182" s="36">
        <f>H182*F182</f>
        <v>0</v>
      </c>
      <c r="J182" s="26"/>
    </row>
    <row r="183" spans="1:11" s="22" customFormat="1" x14ac:dyDescent="0.2">
      <c r="A183" s="25" t="str">
        <f>IF(F183&lt;&gt;"",1+MAX($A$6:A182),"")</f>
        <v/>
      </c>
      <c r="B183" s="32"/>
      <c r="C183" s="33"/>
      <c r="D183" s="6"/>
      <c r="E183" s="125"/>
      <c r="F183" s="126"/>
      <c r="G183" s="127"/>
      <c r="H183" s="160"/>
      <c r="I183" s="128"/>
      <c r="J183" s="26"/>
      <c r="K183" s="129"/>
    </row>
    <row r="184" spans="1:11" s="8" customFormat="1" x14ac:dyDescent="0.2">
      <c r="A184" s="25" t="str">
        <f>IF(F184&lt;&gt;"",1+MAX($A$6:A183),"")</f>
        <v/>
      </c>
      <c r="B184" s="32"/>
      <c r="C184" s="33"/>
      <c r="D184" s="6"/>
      <c r="E184" s="106" t="s">
        <v>98</v>
      </c>
      <c r="F184" s="35"/>
      <c r="G184" s="14"/>
      <c r="H184" s="161"/>
      <c r="I184" s="36"/>
      <c r="J184" s="26"/>
      <c r="K184" s="65"/>
    </row>
    <row r="185" spans="1:11" s="8" customFormat="1" ht="47.25" x14ac:dyDescent="0.2">
      <c r="A185" s="25">
        <f>IF(F185&lt;&gt;"",1+MAX($A$6:A184),"")</f>
        <v>95</v>
      </c>
      <c r="B185" s="32" t="s">
        <v>121</v>
      </c>
      <c r="C185" s="33" t="s">
        <v>148</v>
      </c>
      <c r="D185" s="78"/>
      <c r="E185" s="38" t="s">
        <v>100</v>
      </c>
      <c r="F185" s="35">
        <v>12</v>
      </c>
      <c r="G185" s="14" t="s">
        <v>27</v>
      </c>
      <c r="H185" s="58">
        <v>0</v>
      </c>
      <c r="I185" s="36">
        <f>H185*F185</f>
        <v>0</v>
      </c>
      <c r="J185" s="26"/>
    </row>
    <row r="186" spans="1:11" s="8" customFormat="1" ht="47.25" x14ac:dyDescent="0.2">
      <c r="A186" s="25">
        <f>IF(F186&lt;&gt;"",1+MAX($A$6:A185),"")</f>
        <v>96</v>
      </c>
      <c r="B186" s="32" t="s">
        <v>121</v>
      </c>
      <c r="C186" s="33" t="s">
        <v>148</v>
      </c>
      <c r="D186" s="78"/>
      <c r="E186" s="38" t="s">
        <v>101</v>
      </c>
      <c r="F186" s="35">
        <v>7</v>
      </c>
      <c r="G186" s="14" t="s">
        <v>27</v>
      </c>
      <c r="H186" s="58">
        <v>0</v>
      </c>
      <c r="I186" s="36">
        <f>H186*F186</f>
        <v>0</v>
      </c>
      <c r="J186" s="26"/>
    </row>
    <row r="187" spans="1:11" s="22" customFormat="1" x14ac:dyDescent="0.2">
      <c r="A187" s="25" t="str">
        <f>IF(F187&lt;&gt;"",1+MAX($A$6:A186),"")</f>
        <v/>
      </c>
      <c r="B187" s="32"/>
      <c r="C187" s="33"/>
      <c r="D187" s="6"/>
      <c r="E187" s="125"/>
      <c r="F187" s="126"/>
      <c r="G187" s="127"/>
      <c r="H187" s="160"/>
      <c r="I187" s="128"/>
      <c r="J187" s="26"/>
      <c r="K187" s="129"/>
    </row>
    <row r="188" spans="1:11" s="8" customFormat="1" x14ac:dyDescent="0.2">
      <c r="A188" s="25" t="str">
        <f>IF(F188&lt;&gt;"",1+MAX($A$6:A187),"")</f>
        <v/>
      </c>
      <c r="B188" s="32"/>
      <c r="C188" s="33"/>
      <c r="D188" s="6"/>
      <c r="E188" s="106" t="s">
        <v>102</v>
      </c>
      <c r="F188" s="35"/>
      <c r="G188" s="14"/>
      <c r="H188" s="161"/>
      <c r="I188" s="36"/>
      <c r="J188" s="26"/>
      <c r="K188" s="65"/>
    </row>
    <row r="189" spans="1:11" s="8" customFormat="1" x14ac:dyDescent="0.2">
      <c r="A189" s="25">
        <f>IF(F189&lt;&gt;"",1+MAX($A$6:A188),"")</f>
        <v>97</v>
      </c>
      <c r="B189" s="32" t="s">
        <v>121</v>
      </c>
      <c r="C189" s="33" t="s">
        <v>148</v>
      </c>
      <c r="D189" s="78"/>
      <c r="E189" s="38" t="s">
        <v>103</v>
      </c>
      <c r="F189" s="35">
        <v>1510</v>
      </c>
      <c r="G189" s="14" t="s">
        <v>31</v>
      </c>
      <c r="H189" s="58">
        <v>0</v>
      </c>
      <c r="I189" s="36">
        <f>H189*F189</f>
        <v>0</v>
      </c>
      <c r="J189" s="26"/>
    </row>
    <row r="190" spans="1:11" s="22" customFormat="1" x14ac:dyDescent="0.2">
      <c r="A190" s="25" t="str">
        <f>IF(F190&lt;&gt;"",1+MAX($A$6:A189),"")</f>
        <v/>
      </c>
      <c r="B190" s="32"/>
      <c r="C190" s="33"/>
      <c r="D190" s="6"/>
      <c r="E190" s="125"/>
      <c r="F190" s="126"/>
      <c r="G190" s="127"/>
      <c r="H190" s="160"/>
      <c r="I190" s="128"/>
      <c r="J190" s="26"/>
      <c r="K190" s="129"/>
    </row>
    <row r="191" spans="1:11" s="8" customFormat="1" x14ac:dyDescent="0.2">
      <c r="A191" s="25" t="str">
        <f>IF(F191&lt;&gt;"",1+MAX($A$6:A190),"")</f>
        <v/>
      </c>
      <c r="B191" s="32"/>
      <c r="C191" s="33"/>
      <c r="D191" s="6"/>
      <c r="E191" s="106" t="s">
        <v>94</v>
      </c>
      <c r="F191" s="35"/>
      <c r="G191" s="14"/>
      <c r="H191" s="161"/>
      <c r="I191" s="36"/>
      <c r="J191" s="26"/>
      <c r="K191" s="65"/>
    </row>
    <row r="192" spans="1:11" s="8" customFormat="1" ht="31.5" x14ac:dyDescent="0.2">
      <c r="A192" s="25">
        <f>IF(F192&lt;&gt;"",1+MAX($A$6:A191),"")</f>
        <v>98</v>
      </c>
      <c r="B192" s="32" t="s">
        <v>121</v>
      </c>
      <c r="C192" s="33" t="s">
        <v>148</v>
      </c>
      <c r="D192" s="78"/>
      <c r="E192" s="38" t="s">
        <v>105</v>
      </c>
      <c r="F192" s="35">
        <f>(295*0.25/27)</f>
        <v>2.7314814814814814</v>
      </c>
      <c r="G192" s="14" t="s">
        <v>15</v>
      </c>
      <c r="H192" s="58">
        <v>0</v>
      </c>
      <c r="I192" s="36">
        <f>H192*F192</f>
        <v>0</v>
      </c>
      <c r="J192" s="26"/>
    </row>
    <row r="193" spans="1:12" s="22" customFormat="1" x14ac:dyDescent="0.2">
      <c r="A193" s="25" t="str">
        <f>IF(F193&lt;&gt;"",1+MAX($A$6:A192),"")</f>
        <v/>
      </c>
      <c r="B193" s="32"/>
      <c r="C193" s="33"/>
      <c r="D193" s="6"/>
      <c r="E193" s="125"/>
      <c r="F193" s="126"/>
      <c r="G193" s="127"/>
      <c r="H193" s="160"/>
      <c r="I193" s="128"/>
      <c r="J193" s="26"/>
      <c r="K193" s="129"/>
    </row>
    <row r="194" spans="1:12" s="8" customFormat="1" x14ac:dyDescent="0.2">
      <c r="A194" s="25" t="str">
        <f>IF(F194&lt;&gt;"",1+MAX($A$6:A193),"")</f>
        <v/>
      </c>
      <c r="B194" s="32"/>
      <c r="C194" s="33"/>
      <c r="D194" s="6"/>
      <c r="E194" s="106" t="s">
        <v>104</v>
      </c>
      <c r="F194" s="35"/>
      <c r="G194" s="14"/>
      <c r="H194" s="161"/>
      <c r="I194" s="36"/>
      <c r="J194" s="26"/>
      <c r="K194" s="65"/>
    </row>
    <row r="195" spans="1:12" s="8" customFormat="1" ht="31.5" x14ac:dyDescent="0.2">
      <c r="A195" s="25">
        <f>IF(F195&lt;&gt;"",1+MAX($A$6:A194),"")</f>
        <v>99</v>
      </c>
      <c r="B195" s="32" t="s">
        <v>121</v>
      </c>
      <c r="C195" s="33" t="s">
        <v>148</v>
      </c>
      <c r="D195" s="78"/>
      <c r="E195" s="38" t="s">
        <v>106</v>
      </c>
      <c r="F195" s="35">
        <f>(453*0.5/27)</f>
        <v>8.3888888888888893</v>
      </c>
      <c r="G195" s="14" t="s">
        <v>15</v>
      </c>
      <c r="H195" s="58">
        <v>0</v>
      </c>
      <c r="I195" s="36">
        <f>H195*F195</f>
        <v>0</v>
      </c>
      <c r="J195" s="26"/>
    </row>
    <row r="196" spans="1:12" s="22" customFormat="1" x14ac:dyDescent="0.2">
      <c r="A196" s="25" t="str">
        <f>IF(F196&lt;&gt;"",1+MAX($A$6:A195),"")</f>
        <v/>
      </c>
      <c r="B196" s="32"/>
      <c r="C196" s="33"/>
      <c r="D196" s="6"/>
      <c r="E196" s="125"/>
      <c r="F196" s="126"/>
      <c r="G196" s="127"/>
      <c r="H196" s="160"/>
      <c r="I196" s="128"/>
      <c r="J196" s="26"/>
      <c r="K196" s="129"/>
    </row>
    <row r="197" spans="1:12" s="8" customFormat="1" x14ac:dyDescent="0.2">
      <c r="A197" s="25" t="str">
        <f>IF(F197&lt;&gt;"",1+MAX($A$6:A196),"")</f>
        <v/>
      </c>
      <c r="B197" s="32"/>
      <c r="C197" s="33"/>
      <c r="D197" s="6"/>
      <c r="E197" s="106" t="s">
        <v>153</v>
      </c>
      <c r="F197" s="35"/>
      <c r="G197" s="14"/>
      <c r="H197" s="161"/>
      <c r="I197" s="36"/>
      <c r="J197" s="26"/>
      <c r="K197" s="65"/>
    </row>
    <row r="198" spans="1:12" s="8" customFormat="1" ht="31.5" x14ac:dyDescent="0.2">
      <c r="A198" s="25">
        <f>IF(F198&lt;&gt;"",1+MAX($A$6:A197),"")</f>
        <v>100</v>
      </c>
      <c r="B198" s="32" t="s">
        <v>121</v>
      </c>
      <c r="C198" s="33" t="s">
        <v>155</v>
      </c>
      <c r="D198" s="78"/>
      <c r="E198" s="38" t="s">
        <v>154</v>
      </c>
      <c r="F198" s="35">
        <f>(1510+295)*0.5/27</f>
        <v>33.425925925925924</v>
      </c>
      <c r="G198" s="14" t="s">
        <v>15</v>
      </c>
      <c r="H198" s="58">
        <v>0</v>
      </c>
      <c r="I198" s="36">
        <f>H198*F198</f>
        <v>0</v>
      </c>
      <c r="J198" s="26"/>
    </row>
    <row r="199" spans="1:12" s="22" customFormat="1" x14ac:dyDescent="0.2">
      <c r="A199" s="25" t="str">
        <f>IF(F199&lt;&gt;"",1+MAX($A$6:A198),"")</f>
        <v/>
      </c>
      <c r="B199" s="32"/>
      <c r="C199" s="33"/>
      <c r="D199" s="6"/>
      <c r="E199" s="125"/>
      <c r="F199" s="126"/>
      <c r="G199" s="127"/>
      <c r="H199" s="160"/>
      <c r="I199" s="128"/>
      <c r="J199" s="26"/>
      <c r="K199" s="129"/>
    </row>
    <row r="200" spans="1:12" s="8" customFormat="1" x14ac:dyDescent="0.2">
      <c r="A200" s="25" t="str">
        <f>IF(F200&lt;&gt;"",1+MAX($A$6:A199),"")</f>
        <v/>
      </c>
      <c r="B200" s="32"/>
      <c r="C200" s="33"/>
      <c r="D200" s="6"/>
      <c r="E200" s="106" t="s">
        <v>149</v>
      </c>
      <c r="F200" s="35"/>
      <c r="G200" s="14"/>
      <c r="H200" s="161"/>
      <c r="I200" s="36"/>
      <c r="J200" s="26"/>
      <c r="K200" s="65"/>
    </row>
    <row r="201" spans="1:12" s="8" customFormat="1" ht="31.5" x14ac:dyDescent="0.2">
      <c r="A201" s="25">
        <f>IF(F201&lt;&gt;"",1+MAX($A$6:A200),"")</f>
        <v>101</v>
      </c>
      <c r="B201" s="32" t="s">
        <v>121</v>
      </c>
      <c r="C201" s="33" t="s">
        <v>148</v>
      </c>
      <c r="D201" s="78"/>
      <c r="E201" s="38" t="s">
        <v>151</v>
      </c>
      <c r="F201" s="35">
        <f>507*0.75/27</f>
        <v>14.083333333333334</v>
      </c>
      <c r="G201" s="14" t="s">
        <v>15</v>
      </c>
      <c r="H201" s="58">
        <v>0</v>
      </c>
      <c r="I201" s="36">
        <f>H201*F201</f>
        <v>0</v>
      </c>
      <c r="J201" s="26"/>
    </row>
    <row r="202" spans="1:12" s="8" customFormat="1" ht="31.5" x14ac:dyDescent="0.2">
      <c r="A202" s="25">
        <f>IF(F202&lt;&gt;"",1+MAX($A$6:A201),"")</f>
        <v>102</v>
      </c>
      <c r="B202" s="32" t="s">
        <v>121</v>
      </c>
      <c r="C202" s="33" t="s">
        <v>148</v>
      </c>
      <c r="D202" s="78"/>
      <c r="E202" s="38" t="s">
        <v>150</v>
      </c>
      <c r="F202" s="35">
        <f>507*0.67/27</f>
        <v>12.581111111111111</v>
      </c>
      <c r="G202" s="14" t="s">
        <v>15</v>
      </c>
      <c r="H202" s="58">
        <v>0</v>
      </c>
      <c r="I202" s="36">
        <f>H202*F202</f>
        <v>0</v>
      </c>
      <c r="J202" s="26"/>
    </row>
    <row r="203" spans="1:12" s="8" customFormat="1" ht="31.5" x14ac:dyDescent="0.2">
      <c r="A203" s="25">
        <f>IF(F203&lt;&gt;"",1+MAX($A$6:A202),"")</f>
        <v>103</v>
      </c>
      <c r="B203" s="32" t="s">
        <v>121</v>
      </c>
      <c r="C203" s="33" t="s">
        <v>148</v>
      </c>
      <c r="D203" s="78"/>
      <c r="E203" s="38" t="s">
        <v>152</v>
      </c>
      <c r="F203" s="35">
        <f>507*1.17/27</f>
        <v>21.97</v>
      </c>
      <c r="G203" s="14" t="s">
        <v>15</v>
      </c>
      <c r="H203" s="58">
        <v>0</v>
      </c>
      <c r="I203" s="36">
        <f>H203*F203</f>
        <v>0</v>
      </c>
      <c r="J203" s="26"/>
    </row>
    <row r="204" spans="1:12" s="8" customFormat="1" ht="16.5" thickBot="1" x14ac:dyDescent="0.25">
      <c r="A204" s="25" t="str">
        <f>IF(F204&lt;&gt;"",1+MAX($A$6:A203),"")</f>
        <v/>
      </c>
      <c r="B204" s="32"/>
      <c r="C204" s="33"/>
      <c r="D204" s="7"/>
      <c r="E204" s="95"/>
      <c r="F204" s="9"/>
      <c r="G204" s="10"/>
      <c r="H204" s="11"/>
      <c r="I204" s="40"/>
      <c r="J204" s="41"/>
    </row>
    <row r="205" spans="1:12" s="8" customFormat="1" ht="16.5" thickBot="1" x14ac:dyDescent="0.25">
      <c r="A205" s="25" t="str">
        <f>IF(F205&lt;&gt;"",1+MAX($A$6:A204),"")</f>
        <v/>
      </c>
      <c r="B205" s="6"/>
      <c r="C205" s="6"/>
      <c r="D205" s="12"/>
      <c r="E205" s="66" t="s">
        <v>95</v>
      </c>
      <c r="F205" s="13"/>
      <c r="G205" s="14"/>
      <c r="H205" s="15"/>
      <c r="I205" s="2"/>
      <c r="J205" s="5">
        <f>SUM(I179:I204)</f>
        <v>0</v>
      </c>
      <c r="K205" s="63"/>
    </row>
    <row r="206" spans="1:12" s="8" customFormat="1" ht="18.75" x14ac:dyDescent="0.2">
      <c r="A206" s="25" t="str">
        <f>IF(F206&lt;&gt;"",1+MAX($A$6:A205),"")</f>
        <v/>
      </c>
      <c r="B206" s="6"/>
      <c r="C206" s="6"/>
      <c r="D206" s="12"/>
      <c r="E206" s="42"/>
      <c r="F206" s="13"/>
      <c r="G206" s="14"/>
      <c r="H206" s="15"/>
      <c r="I206" s="3"/>
      <c r="J206" s="43"/>
    </row>
    <row r="207" spans="1:12" ht="16.5" thickBot="1" x14ac:dyDescent="0.25">
      <c r="A207" s="25" t="str">
        <f>IF(F207&lt;&gt;"",1+MAX($A$6:A206),"")</f>
        <v/>
      </c>
      <c r="B207" s="44"/>
      <c r="C207" s="44"/>
      <c r="D207" s="44"/>
      <c r="E207" s="45"/>
      <c r="F207" s="46"/>
      <c r="G207" s="47"/>
      <c r="H207" s="48"/>
      <c r="I207" s="49"/>
      <c r="J207" s="50"/>
    </row>
    <row r="208" spans="1:12" ht="16.5" thickBot="1" x14ac:dyDescent="0.25">
      <c r="A208" s="97" t="s">
        <v>11</v>
      </c>
      <c r="B208" s="98"/>
      <c r="C208" s="99"/>
      <c r="D208" s="99"/>
      <c r="E208" s="100" t="s">
        <v>19</v>
      </c>
      <c r="F208" s="101"/>
      <c r="G208" s="102"/>
      <c r="H208" s="103"/>
      <c r="I208" s="104">
        <f>(SUM(I7:I207))</f>
        <v>0</v>
      </c>
      <c r="J208" s="104">
        <f>(SUM(J7:J207))</f>
        <v>0</v>
      </c>
      <c r="L208" s="64"/>
    </row>
    <row r="209" spans="1:12" ht="16.5" thickBot="1" x14ac:dyDescent="0.25">
      <c r="A209" s="151" t="s">
        <v>47</v>
      </c>
      <c r="B209" s="152"/>
      <c r="C209" s="152"/>
      <c r="D209" s="152"/>
      <c r="E209" s="153"/>
      <c r="F209" s="154"/>
      <c r="G209" s="155"/>
      <c r="H209" s="164">
        <v>0.17499999999999999</v>
      </c>
      <c r="I209" s="156">
        <f>I208*H209</f>
        <v>0</v>
      </c>
      <c r="J209" s="156"/>
      <c r="L209" s="64"/>
    </row>
    <row r="210" spans="1:12" ht="16.5" thickBot="1" x14ac:dyDescent="0.25">
      <c r="A210" s="140" t="s">
        <v>3</v>
      </c>
      <c r="B210" s="141"/>
      <c r="C210" s="141"/>
      <c r="D210" s="141"/>
      <c r="E210" s="142"/>
      <c r="F210" s="143"/>
      <c r="G210" s="141"/>
      <c r="H210" s="162"/>
      <c r="I210" s="144">
        <f>SUM(I208:I209)</f>
        <v>0</v>
      </c>
      <c r="J210" s="145"/>
    </row>
    <row r="211" spans="1:12" x14ac:dyDescent="0.2">
      <c r="A211" s="146" t="s">
        <v>18</v>
      </c>
      <c r="B211" s="147"/>
      <c r="C211" s="147"/>
      <c r="D211" s="147"/>
      <c r="E211" s="148"/>
      <c r="F211" s="149"/>
      <c r="G211" s="147"/>
      <c r="H211" s="163"/>
      <c r="I211" s="150"/>
      <c r="J211" s="80"/>
    </row>
    <row r="212" spans="1:12" ht="16.5" thickBot="1" x14ac:dyDescent="0.25">
      <c r="A212" s="213"/>
      <c r="B212" s="72"/>
      <c r="C212" s="72"/>
      <c r="D212" s="72"/>
      <c r="E212" s="73"/>
      <c r="F212" s="74"/>
      <c r="G212" s="72"/>
      <c r="H212" s="75"/>
      <c r="I212" s="76"/>
      <c r="J212" s="77"/>
    </row>
    <row r="233" spans="8:8" x14ac:dyDescent="0.2">
      <c r="H233" s="53"/>
    </row>
  </sheetData>
  <pageMargins left="0.25" right="0.25" top="0.75" bottom="0.75" header="0.3" footer="0.3"/>
  <pageSetup paperSize="9" scale="93" fitToHeight="0" orientation="landscape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SITE ESTIMATE</vt:lpstr>
      <vt:lpstr>'SITE ESTIMATE'!Print_Area</vt:lpstr>
      <vt:lpstr>SUMMARY!Print_Area</vt:lpstr>
      <vt:lpstr>'SITE ESTIMATE'!Print_Titles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2023-12-25T15:12:18Z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</Properties>
</file>